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9720" windowHeight="7320" tabRatio="601" firstSheet="1" activeTab="6"/>
  </bookViews>
  <sheets>
    <sheet name="BTDC" sheetId="1" r:id="rId1"/>
    <sheet name="CDKTCK" sheetId="2" r:id="rId2"/>
    <sheet name="KQKDCK" sheetId="3" r:id="rId3"/>
    <sheet name="CDKT" sheetId="4" r:id="rId4"/>
    <sheet name="KQKDM" sheetId="5" r:id="rId5"/>
    <sheet name="LCTT" sheetId="6" r:id="rId6"/>
    <sheet name="TMTH" sheetId="7" r:id="rId7"/>
    <sheet name="Sheet2" sheetId="8" r:id="rId8"/>
    <sheet name="00000000" sheetId="9" state="veryHidden" r:id="rId9"/>
  </sheets>
  <externalReferences>
    <externalReference r:id="rId12"/>
    <externalReference r:id="rId13"/>
    <externalReference r:id="rId14"/>
    <externalReference r:id="rId15"/>
    <externalReference r:id="rId16"/>
    <externalReference r:id="rId17"/>
    <externalReference r:id="rId18"/>
  </externalReferences>
  <definedNames>
    <definedName name="_Fill" hidden="1">#REF!</definedName>
    <definedName name="_xlnm.Print_Area" localSheetId="3">'CDKT'!$A$1:$J$126</definedName>
    <definedName name="_xlnm.Print_Titles" localSheetId="3">'CDKT'!$1:$5</definedName>
    <definedName name="TRISO">#REF!</definedName>
  </definedNames>
  <calcPr fullCalcOnLoad="1"/>
</workbook>
</file>

<file path=xl/comments6.xml><?xml version="1.0" encoding="utf-8"?>
<comments xmlns="http://schemas.openxmlformats.org/spreadsheetml/2006/main">
  <authors>
    <author>thehieu</author>
  </authors>
  <commentList>
    <comment ref="G15" authorId="0">
      <text>
        <r>
          <rPr>
            <b/>
            <sz val="8"/>
            <rFont val="Tahoma"/>
            <family val="0"/>
          </rPr>
          <t xml:space="preserve">chua bao gom thue gtgt khi ban tscd
</t>
        </r>
      </text>
    </comment>
    <comment ref="G18" authorId="0">
      <text>
        <r>
          <rPr>
            <b/>
            <sz val="8"/>
            <rFont val="Tahoma"/>
            <family val="0"/>
          </rPr>
          <t>chua bao gom thue gtgt khi ban tscd</t>
        </r>
        <r>
          <rPr>
            <sz val="8"/>
            <rFont val="Tahoma"/>
            <family val="0"/>
          </rPr>
          <t xml:space="preserve">
</t>
        </r>
      </text>
    </comment>
    <comment ref="G20" authorId="0">
      <text>
        <r>
          <rPr>
            <b/>
            <sz val="8"/>
            <rFont val="Tahoma"/>
            <family val="0"/>
          </rPr>
          <t>chua dieu chinh chi phi lai vay</t>
        </r>
        <r>
          <rPr>
            <sz val="8"/>
            <rFont val="Tahoma"/>
            <family val="0"/>
          </rPr>
          <t xml:space="preserve">
</t>
        </r>
      </text>
    </comment>
    <comment ref="G22" authorId="0">
      <text>
        <r>
          <rPr>
            <b/>
            <sz val="8"/>
            <rFont val="Tahoma"/>
            <family val="0"/>
          </rPr>
          <t xml:space="preserve">chua bao gom cp lai vay tren 335
</t>
        </r>
        <r>
          <rPr>
            <sz val="8"/>
            <rFont val="Tahoma"/>
            <family val="0"/>
          </rPr>
          <t xml:space="preserve">
</t>
        </r>
      </text>
    </comment>
  </commentList>
</comments>
</file>

<file path=xl/sharedStrings.xml><?xml version="1.0" encoding="utf-8"?>
<sst xmlns="http://schemas.openxmlformats.org/spreadsheetml/2006/main" count="721" uniqueCount="616">
  <si>
    <t>Phöông phaùp xaùc ñònh giaù trò haøng hoùa toàn kho cuoái kyø: Bình quaân gia quyeàn.</t>
  </si>
  <si>
    <t>Phöông phaùp haïch toaùn haøng toàn kho: Keâ khai thöôøng xuyeân.</t>
  </si>
  <si>
    <t>Khi taøi saûn coá ñònh ñöôïc baùn hay thanh lyù, nguyeân giaù vaø khaáu hao luõy keá ñöôïc xoùa soå vaø baát kyø khoaûn laõi loã naøo phaùt sinh do vieäc thanh lyù ñeàu ñöôïc ñöa vaøo thu nhaäp hay chi phí trong kyø.</t>
  </si>
  <si>
    <t>Ñieàu chænh phaân boå TK 242: 50% vaøo chi phí quaûn lí trong kì</t>
  </si>
  <si>
    <t>- Quó ñaàu tö phaùt trieån ñöôïc duøng ñeå boå sung voán ñieàu leä cuûa Coâng Ty.</t>
  </si>
  <si>
    <t>- Thanh lyù, nhöôïng baùn</t>
  </si>
  <si>
    <t xml:space="preserve">* Giaù trò coøn laïi cuoái naêm cuûa TSCÑ höõu hình ñaõ duøng ñeå theá chaáp, caàm coá ñaûm baûo caùc khoaûn vay:  </t>
  </si>
  <si>
    <t xml:space="preserve">- Toång thu nhaäp chòu thueá </t>
  </si>
  <si>
    <t>- Caùc khoaûn ñieàu chænh taêng hoaëc giaûm lôi nhuaän keá toaùn ñeå xaùc ñònh thu nhaäp chòu thueá.</t>
  </si>
  <si>
    <t>+ Caùc khoaûn ñieàu chænh taêng</t>
  </si>
  <si>
    <t>+ Caùc khoaûn ñieàu chænh giaûm</t>
  </si>
  <si>
    <t>30.</t>
  </si>
  <si>
    <t xml:space="preserve">Chi phí taøi chính </t>
  </si>
  <si>
    <t>- Laõi tieàn vay</t>
  </si>
  <si>
    <t>- Chieát khaàu thanh toaùn</t>
  </si>
  <si>
    <t>- Doanh thu thuaàn trao ñoåi saûn phaåm, haøng hoaù</t>
  </si>
  <si>
    <t>- Doanh thu thuaàn trao ñoåi dòch vuï</t>
  </si>
  <si>
    <t>- Coå töùc, lôïi nhuaän ñöôïc chia</t>
  </si>
  <si>
    <t>- Loã do cheânh leäch tæ giaù ñaõ thöïc hieän</t>
  </si>
  <si>
    <t>- Nguyeân taéc ghi nhaän theo giaù goác.</t>
  </si>
  <si>
    <t>Ñieàu chænh thueá GTGT haøng nhaäp khaåu</t>
  </si>
  <si>
    <t>Nôï TK 421(642)/ Coù TK 3331</t>
  </si>
  <si>
    <t>- Thueá GTGT ñöôïc khaáu tröø</t>
  </si>
  <si>
    <t>- Vay mua coá phieáu traû chaäm (laâu naêm)</t>
  </si>
  <si>
    <t>- Vuõ Thò Tuyeát Phöông (laâu naêm)</t>
  </si>
  <si>
    <t>- Laõi töø chuyeån nhöôïng voán goùp</t>
  </si>
  <si>
    <t>Aûnh höôûng ñeán keát quaû hoaït ñoäng kinh doanh</t>
  </si>
  <si>
    <t>Toång soá ñieàu chænh NÔÏ  :</t>
  </si>
  <si>
    <t>Toång soá ñieàu chænh COÙ  :</t>
  </si>
  <si>
    <t>Cheânh leäch :</t>
  </si>
  <si>
    <t>Laõi (+), loã (-) taêng theâm:</t>
  </si>
  <si>
    <t>- Quó döï phoøng taøi chính ñöôïc duøng ñeå: Buø ñaép nhöõng toån thaát, thieät haïi veà taøi saûn, coâng nôï khoâng ñoøi ñöôïc xaûy ra trong quaù trình kinh doanh vaø nhöõng khoaûn loã cuûa Coâng ty theo Quyeát ñònh cuûa Hoäi ñoàng quaûn trò.</t>
  </si>
  <si>
    <t>Ñaùnh giaù laïi tieàn göûi ngaân haøng coù goác ngoaïi teä: 1.935,82*16.091</t>
  </si>
  <si>
    <t>Ñ/chænh tieàn göûi Ngoaïi teä Exim. do haïch toaùn nhaàm goác ngoaïi teä: 1.935,82*16.091</t>
  </si>
  <si>
    <t>Ñ/chænh laõi tieàn göûi + C/leäch tæ giaù ñaõ thöïc hieän BIDV</t>
  </si>
  <si>
    <t>Nôï TK 112/ Coù TK 421(641)</t>
  </si>
  <si>
    <t xml:space="preserve">- Doanh thu baùn haøng </t>
  </si>
  <si>
    <t>- Doanh thu cung caáp dòch vuï</t>
  </si>
  <si>
    <t>- Laõi cheânh leäch tæ giaù ñaõ thöïc hieän</t>
  </si>
  <si>
    <t>- Laõi cheânh leäch tæ giaù chöa thöïc hieän</t>
  </si>
  <si>
    <t>- Soá löôïng coå phieáu ñaêng kyù phaùt haønh:</t>
  </si>
  <si>
    <t>- Soá löôïng coå phieáu ñaõ baùn ra coâng chuùng</t>
  </si>
  <si>
    <t>- Soá löôïng coå phieáu ñang löu haønh</t>
  </si>
  <si>
    <t>+ Coå töùc ñaõ coâng boá treân coå phieáu phoå thoâng:</t>
  </si>
  <si>
    <t xml:space="preserve">  Chi phí thueá TNDN phaûi noäp</t>
  </si>
  <si>
    <t>- Chi phí thueá TNDN ñöôïc mieãn giaûm</t>
  </si>
  <si>
    <t xml:space="preserve">Caùc khoaûn ñaàu tö vaøo coâng ty lieân keát, voán goùp vaøo cô sôû kinh doanh ñoàng kieåm soaùt: </t>
  </si>
  <si>
    <t xml:space="preserve">- Khi thanh lí moät khoaûn ñaàu tö phaàn cheânh leäch giöõa giaù trò thanh lí thuaàn vaø giaù trò ghi soå ñöôc haïch toaùn vaøo thu nhaäp hay chi phí trong kyø. </t>
  </si>
  <si>
    <t xml:space="preserve">- Nguyeân taéc xaùc ñònh caùc khoaûn töông ñöông tieàn: phaûn aùnh caùc khoaûn ñaàu tö ngaén haïn coù thu hoài hoaëc ñaùo haïn khoâng quaù 3 thaùng keå töø ngaøy mua, deã daøng chuyeån ñoåi thaønh moät löôïng tieàn xaùc ñònh cuõng nhö khoâng coù nhieàu ruûi ro trong vieäc chuyeån ñoåi. </t>
  </si>
  <si>
    <t>Nguyeân taéc ghi nhaän taøi saûn coá ñònh höõu hình vaø khaáu hao taøi saûn coá ñònh höõu hình</t>
  </si>
  <si>
    <t>+ Löông</t>
  </si>
  <si>
    <t>+ BHXH, BHYT, KPCÑ</t>
  </si>
  <si>
    <t xml:space="preserve">Taêng, giaûm taøi saûn coá ñònh höõu hình  </t>
  </si>
  <si>
    <t>- Toång chi phí thueá TNDN hieän haønh</t>
  </si>
  <si>
    <t>- Chi phí thueá TNDN phaûi noäp</t>
  </si>
  <si>
    <t>* Toång nguoàn voán khaáu hao ñaõ trích töø 1/5/2003 ñeán naêm 31/12/2006</t>
  </si>
  <si>
    <t>* Toång giaù trò TSCÑ ñaàu tö töø 1/5/2003 ñeán naêm 31/12/2006</t>
  </si>
  <si>
    <t>*Toång nguoàn voán khaáu hao cô baûn hieän coù cuoái kyø</t>
  </si>
  <si>
    <t xml:space="preserve">7- Phaûi traû caùc ñôn vò noäi boä </t>
  </si>
  <si>
    <t>8- Phaûi traû theo tieán ñoä hôïp ñoàng xaây döïng</t>
  </si>
  <si>
    <t>- Taêng khaùc</t>
  </si>
  <si>
    <t>- Thueá thu nhaäp doanh nghieäp</t>
  </si>
  <si>
    <t xml:space="preserve">- Thueá nhaø ñaát </t>
  </si>
  <si>
    <t xml:space="preserve">- Tieàn thueâ ñaát </t>
  </si>
  <si>
    <t>Voán chuû sôû höõu</t>
  </si>
  <si>
    <t xml:space="preserve">Chi tieát voán ñaàu tö cuûa chuû sôûõ höõu </t>
  </si>
  <si>
    <t xml:space="preserve">Doanh thu hoaït ñoäng taøi chính </t>
  </si>
  <si>
    <t xml:space="preserve">Giaù voán haøng baùn </t>
  </si>
  <si>
    <t xml:space="preserve">25. </t>
  </si>
  <si>
    <t>- Laõi tieàn göûi</t>
  </si>
  <si>
    <t xml:space="preserve">27. </t>
  </si>
  <si>
    <t>Chi phí saûn xuaát kinh doanh theo yeáu toá</t>
  </si>
  <si>
    <t>- Chi phí nhaân coâng</t>
  </si>
  <si>
    <t xml:space="preserve">28. </t>
  </si>
  <si>
    <t>Nhöõng thoâng tin khaùc</t>
  </si>
  <si>
    <t>31/12/2006</t>
  </si>
  <si>
    <t>01/01/2006</t>
  </si>
  <si>
    <t xml:space="preserve">3. Nguoàn kinh phí ñaõ hình thaønh taøi saûn coá ñònh </t>
  </si>
  <si>
    <t xml:space="preserve">1- Tieàn </t>
  </si>
  <si>
    <t>2- Caùc khoaûn töông ñöông tieàn</t>
  </si>
  <si>
    <t>1- Phaûi thu cuûa khaùch haøng</t>
  </si>
  <si>
    <t xml:space="preserve">2- Traû tröôùc cho ngöôøi baùn </t>
  </si>
  <si>
    <t>5- Caùc khoaûn phaûi thu khaùc</t>
  </si>
  <si>
    <t>1- Haøng toàn kho</t>
  </si>
  <si>
    <t>1- Chi phí traû tröôùc ngaén haïn</t>
  </si>
  <si>
    <t>1- Taøi saûn coá ñònh höõu hình</t>
  </si>
  <si>
    <t>2- Taøi saûn coá ñònh thueâ taøi chính</t>
  </si>
  <si>
    <t>3- Taøi saûn coá ñònh voâ hình</t>
  </si>
  <si>
    <t>4- Chi phí xaây döng cô baûn dôû dang</t>
  </si>
  <si>
    <t>2- Ñaàu tö vaøo coâng ty lieân keát, lieân doanh</t>
  </si>
  <si>
    <t>3- Ñaàu tö daøi haïn khaùc</t>
  </si>
  <si>
    <t>1- Vay vaø nôï ngaén haïn</t>
  </si>
  <si>
    <t>2- Phaûi traû cho ngöôøi baùn</t>
  </si>
  <si>
    <t>3- Ngöôøi mua traû tieàn tröôùc</t>
  </si>
  <si>
    <t>4- Thueá vaø caùc khoaûn phaûi noäp Nhaø nöôùc</t>
  </si>
  <si>
    <t>5- Phaûi traû coâng nhaân vieân</t>
  </si>
  <si>
    <t>6- Chi phí phaûi traû</t>
  </si>
  <si>
    <t>9- Caùc khoaûn phaûi traû, phaûi noäp khaùc</t>
  </si>
  <si>
    <t xml:space="preserve">33. </t>
  </si>
  <si>
    <t>1- Phaûi traû daøi haïn ngöôøi baùn</t>
  </si>
  <si>
    <t>4- Vay vaø nôï daøi haïn</t>
  </si>
  <si>
    <t>1- Voán ñaàu tö cuûa chuû sôû höõu</t>
  </si>
  <si>
    <t xml:space="preserve">6- Quyõ ñaàu tö phaùt trieån </t>
  </si>
  <si>
    <t>7- Quyõ döï phoøng taøi chính</t>
  </si>
  <si>
    <t>9- Lôïi nhuaän chöa phaân phoái</t>
  </si>
  <si>
    <t>1- Quyõ khen thöôûng vaø phuùc lôïi</t>
  </si>
  <si>
    <t>1- Doanh thu baùn haøng vaø cung caáp dòch vuï</t>
  </si>
  <si>
    <t>3- Doanh thu thuaàn veà baùn haøng vaø cung caáp dòch vuï</t>
  </si>
  <si>
    <t xml:space="preserve">5- Lôïi nhuaän goäp veà baùn haøng vaø cung caáp dòch vuï </t>
  </si>
  <si>
    <t>6- Doanh thu hoaït ñoäng taøi chính</t>
  </si>
  <si>
    <t>8- Chi phí baùn haøng</t>
  </si>
  <si>
    <t>9- Chi phí quaûn lyù doanh nghieäp</t>
  </si>
  <si>
    <t xml:space="preserve">10- Lôïi nhuaän thuaàn töø hoaït ñoäng kinh doanh </t>
  </si>
  <si>
    <t>11- Thu nhaäp khaùc</t>
  </si>
  <si>
    <t>12- Chi phí khaùc</t>
  </si>
  <si>
    <t>Lónh vöïc kinh doanh: Saûn xuaát kinh doanh.</t>
  </si>
  <si>
    <t xml:space="preserve">4. </t>
  </si>
  <si>
    <t xml:space="preserve">Tuyeân boá veà vieäc tuaân thuû Chuaån möïc keá toaùn vaø cheá ñoä keá toaùn Vieät Nam: </t>
  </si>
  <si>
    <t>18.</t>
  </si>
  <si>
    <t>4- Giaù voán haøng baùn</t>
  </si>
  <si>
    <t>13- Lôïi nhuaän khaùc</t>
  </si>
  <si>
    <t>14- Toång lôïi nhuaän keá toaùn tröôùc thueá</t>
  </si>
  <si>
    <t xml:space="preserve">Toång coäng </t>
  </si>
  <si>
    <t xml:space="preserve">- Voán ñaàu tö cuûa chuû sôû höõu </t>
  </si>
  <si>
    <t>Phöông phaùp keá toaùn haøng toàn kho</t>
  </si>
  <si>
    <t xml:space="preserve">Ñôn vò tính: VNÑ </t>
  </si>
  <si>
    <t>Maãu soá B09- DN</t>
  </si>
  <si>
    <t>Coâng Ty tuaân thuû chaáp haønh caùc chuaån möïc keá toaùn vaø cheá ñoä keá toaùn Vieät Nam hieän haønh vaø tuaân thuû caùc qui ñònh phaùp lí coù lieân quan.</t>
  </si>
  <si>
    <t>Khoaûn muïc</t>
  </si>
  <si>
    <t>- Nguyeân taéc vaø phöông phaùp chuyeån ñoåi caùc ñoàng tieàn khaùc ra ñoàng tieàn söû duïng trong keá toaùn: Nhöõng nghieäp vuï lieân quan ñeán caùc loaïi ngoaïi teä phaùt sinh trong naêm ñöôïc qui ñoåi sang ñoàng Vieät Nam theo tyû giaù bình quaân cuûa lieân ngaân haøng Nhaø Nöôùc taïi thôøi ñieåm phaùt sinh nghieäp vuï.</t>
  </si>
  <si>
    <t xml:space="preserve"> </t>
  </si>
  <si>
    <t>431</t>
  </si>
  <si>
    <t xml:space="preserve">Quyõ döï phoøng        taøi chính </t>
  </si>
  <si>
    <t>- Caùc cheânh leäch phaùt sinh do quy ñoåi ngoaïi teä vaø ñaùnh giaù laïi soá dö caùc taøi khoaûn ngoaïi teä ñöôïc keát chuyeån vaøo laõi, loã cuûa nieân ñoä.</t>
  </si>
  <si>
    <t>01</t>
  </si>
  <si>
    <t>03</t>
  </si>
  <si>
    <t>CHÆ TIEÂU</t>
  </si>
  <si>
    <t xml:space="preserve">BAÛNG CAÂN ÑOÁI KEÁ TOAÙN </t>
  </si>
  <si>
    <t>TAØI SAÛN</t>
  </si>
  <si>
    <t>TOÅNG COÄNG TAØI SAÛN</t>
  </si>
  <si>
    <t>NGUOÀN VOÁN</t>
  </si>
  <si>
    <t xml:space="preserve">A. NÔÏ PHAÛI TRAÛ </t>
  </si>
  <si>
    <t>TOÅNG COÄNG NGUOÀN VOÁN</t>
  </si>
  <si>
    <t>- Nguyeân giaù</t>
  </si>
  <si>
    <t xml:space="preserve">- Giaù trò hao moøn luõy keá </t>
  </si>
  <si>
    <t>B. VOÁN CHUÛ SÔÛ HÖÕU</t>
  </si>
  <si>
    <t xml:space="preserve">CHÆ TIEÂU </t>
  </si>
  <si>
    <t>I. Nôï ngaén haïn</t>
  </si>
  <si>
    <t>II. Nôï daøi haïn</t>
  </si>
  <si>
    <t>I. Nguoàn voán quyõ</t>
  </si>
  <si>
    <t>II. Nguoàn kinh phí, quyõ khaùc</t>
  </si>
  <si>
    <t>II. Caùc khoaûn ñaàu tö taøi chính ngaén haïn</t>
  </si>
  <si>
    <t>III. Caùc khoaûn phaûi thu</t>
  </si>
  <si>
    <t>IV. Haøng toàn kho</t>
  </si>
  <si>
    <t>CAÙC CHÆ TIEÂU NGOAØI BAÛNG CAÂN ÑOÁI KEÁ TOAÙN</t>
  </si>
  <si>
    <t>1. Taøi saûn thueâ ngoaøi</t>
  </si>
  <si>
    <t>2. Vaät tö, haøng hoùa nhaän giöõ hoä, nhaän gia coâng</t>
  </si>
  <si>
    <t>3. Haøng hoùa nhaän baùn hoä, nhaän kyù göûi</t>
  </si>
  <si>
    <t>4. Nôï khoù ñoøi ñaõ xöû lyù</t>
  </si>
  <si>
    <t>5. Ngoaïi teä caùc loaïi</t>
  </si>
  <si>
    <t>6. Haïn möùc kinh phí coøn laïi</t>
  </si>
  <si>
    <t>Maõ soá</t>
  </si>
  <si>
    <t xml:space="preserve">Giaùm Ñoác </t>
  </si>
  <si>
    <t xml:space="preserve">1. Ñaàu tö chöùng khoaùn ngaén haïn </t>
  </si>
  <si>
    <t>THUYEÁT MINH BAÙO CAÙO TAØI CHÍNH</t>
  </si>
  <si>
    <t>1.</t>
  </si>
  <si>
    <t>Ñaëc ñieåm hoaït ñoäng cuûa doanh nghieäp</t>
  </si>
  <si>
    <t>Cheá ñoä keá toaùn aùp duïng taïi doanh nghieäp</t>
  </si>
  <si>
    <t>3.</t>
  </si>
  <si>
    <t>4.</t>
  </si>
  <si>
    <t>5.</t>
  </si>
  <si>
    <t>Maãu soá B01- DN</t>
  </si>
  <si>
    <t>Thuyeát minh</t>
  </si>
  <si>
    <t>A. TAØI SAÛN NGAÉN HAÏN</t>
  </si>
  <si>
    <t>I. Tieàn vaø caùc khoaûn töông töông tieàn</t>
  </si>
  <si>
    <t>- Phaûi thu khaùch haøng</t>
  </si>
  <si>
    <t xml:space="preserve">Nguyeân giaù TSCÑ höõu hình </t>
  </si>
  <si>
    <t>Giaù trò hao moøn luõy keá</t>
  </si>
  <si>
    <t>Giaù trò coøn laïi cuûa TSCÑ höõu hình</t>
  </si>
  <si>
    <t>- Thueá xuaát nhaäp khaåu</t>
  </si>
  <si>
    <t>- Chi phí khaáu hao</t>
  </si>
  <si>
    <t xml:space="preserve">- Chi phí dòch vuï mua ngoaøi </t>
  </si>
  <si>
    <t xml:space="preserve">- Chi phí khaùc baèng tieàn </t>
  </si>
  <si>
    <t>+ Chi phí laõi tieàn vay vöôït möùc khoáng cheá</t>
  </si>
  <si>
    <t>+ Chi phí khoâng coù hoaù ñôn chöùng töø theo quy ñònh</t>
  </si>
  <si>
    <t>+ Caùc khoaûn thueá bò truy thu</t>
  </si>
  <si>
    <t>+ Loå cheânh leäch tyû giaù hoái ñoaùi</t>
  </si>
  <si>
    <t xml:space="preserve">- Lôïi nhuaän sau thueá TNDN </t>
  </si>
  <si>
    <t>Keá toaùn tröôûng</t>
  </si>
  <si>
    <t>- Kinh phí coâng ñoaøn</t>
  </si>
  <si>
    <t>V. Taøi saûn ngaén haïn khaùc</t>
  </si>
  <si>
    <t>B. TAØI SAÛN DAØI HAÏN</t>
  </si>
  <si>
    <t>I. Caùc khoaûn phaûi thu daøi haïn</t>
  </si>
  <si>
    <t>II. Taøi saûn coá ñònh</t>
  </si>
  <si>
    <t>III. Baát ñoäng saûn ñaàu tö</t>
  </si>
  <si>
    <t>IV. Caùc khoaûn ñaàu tö taøi chính daøi  haïn</t>
  </si>
  <si>
    <t>V. Taøi saûn daøi haïn khaùc</t>
  </si>
  <si>
    <t>1. Chi phí traû tröôùc daøi haïn</t>
  </si>
  <si>
    <t>2. Thaëng dö voán coå phaàn</t>
  </si>
  <si>
    <t xml:space="preserve">2. Döï phoøng giaûm giaù chöùng khoaùn ñaàu tö ngaén haïn </t>
  </si>
  <si>
    <t>3. Phaûi thu noäi boä</t>
  </si>
  <si>
    <t xml:space="preserve">4. Phaûi thu theo tieán ñoä keá hoaïch hôïp ñoàng xaây döïng </t>
  </si>
  <si>
    <t>6. Döï phoøng caùc khoaûn phaûi thu khoù ñoøi</t>
  </si>
  <si>
    <t xml:space="preserve">2. Döï phoøng giaûm giaù haøng toàn kho </t>
  </si>
  <si>
    <t>1. Phaûi thu daøi haïn cuûa khaùch haøng</t>
  </si>
  <si>
    <t xml:space="preserve">2. Phaûi thu noäi boä daøi haïn </t>
  </si>
  <si>
    <t xml:space="preserve">4. Döï phoøng caùc khoaûn phaûi thu khoù ñoøi </t>
  </si>
  <si>
    <t>3. Phaûi thu daøi haïn khaùc</t>
  </si>
  <si>
    <t>1. Ñaàu tö vaøo coâng ty con</t>
  </si>
  <si>
    <t xml:space="preserve">4. Döï phoøng giaûm giaù chöùng khoaùn ñaàu tö daøi haïn </t>
  </si>
  <si>
    <t>2. Taøi saûn thueá thu nhaäp hoaõn laïi</t>
  </si>
  <si>
    <t>3. Taøi saûn daøi haïn khaùc</t>
  </si>
  <si>
    <t xml:space="preserve">2. Phaûi traû daøi haïn noäi boä </t>
  </si>
  <si>
    <t>3. Phaûi traû daøi haïn khaùc</t>
  </si>
  <si>
    <t>Maãu soá B02- DN</t>
  </si>
  <si>
    <t>10</t>
  </si>
  <si>
    <t>I.</t>
  </si>
  <si>
    <t xml:space="preserve">II. </t>
  </si>
  <si>
    <t>Nieân ñoä keá toaùn, ñôn vò tieàn teä söû duïng trong keá toaùn</t>
  </si>
  <si>
    <t>Cheá ñoä keá toaùn aùp duïng:</t>
  </si>
  <si>
    <t>2.</t>
  </si>
  <si>
    <t xml:space="preserve">III. </t>
  </si>
  <si>
    <t>IV.</t>
  </si>
  <si>
    <t>Caùc chính saùch keá toaùn aùp duïng:</t>
  </si>
  <si>
    <t>V.1</t>
  </si>
  <si>
    <t>V.3</t>
  </si>
  <si>
    <t>3- Thueá vaø caùc khoaûn khaùc phaûi thu Nhaø nöôùc</t>
  </si>
  <si>
    <t xml:space="preserve">2- Thueá GTGT ñöôc khaáu tröø </t>
  </si>
  <si>
    <t>4- Taøi saûn ngaén haïn khaùc</t>
  </si>
  <si>
    <t>154</t>
  </si>
  <si>
    <t>V.8</t>
  </si>
  <si>
    <t>V.11</t>
  </si>
  <si>
    <t>V.13</t>
  </si>
  <si>
    <t>V.15</t>
  </si>
  <si>
    <t>V.16</t>
  </si>
  <si>
    <t>V.17</t>
  </si>
  <si>
    <t>V.18</t>
  </si>
  <si>
    <t>V.20</t>
  </si>
  <si>
    <t>V.22</t>
  </si>
  <si>
    <t>Thoâng tin boå sung cho caùc khoaûn muïc trình baøy trong Baûng Caân Ñoái Keá Toaùn</t>
  </si>
  <si>
    <t xml:space="preserve">V. </t>
  </si>
  <si>
    <t>VI.27</t>
  </si>
  <si>
    <t>VI.28</t>
  </si>
  <si>
    <t>Nguyeân taéc ghi nhaän caùc khoaûn ñaàu tö taøi chính</t>
  </si>
  <si>
    <t>10.</t>
  </si>
  <si>
    <t>Nguyeân taéc ghi nhaän voán chuû sôû höõu</t>
  </si>
  <si>
    <t xml:space="preserve">Nguyeân taéc ghi nhaän doanh thu: </t>
  </si>
  <si>
    <t>Phaûi thu khaùch haøng vaø traû tröôùc cho ngöôøi baùn</t>
  </si>
  <si>
    <t>Caùc khoaûn phaûi thu ngaén haïn khaùc</t>
  </si>
  <si>
    <t xml:space="preserve">- Taïm öùng </t>
  </si>
  <si>
    <t xml:space="preserve">- Kyù quyõ, kyù cöôïc ngaén haïn </t>
  </si>
  <si>
    <t>- Phaûi thu khaùc</t>
  </si>
  <si>
    <t>V. 4</t>
  </si>
  <si>
    <t>Thueá vaø caùc khoaûn phaûi noäp Nhaø nöôùc</t>
  </si>
  <si>
    <t xml:space="preserve">- Baûo hieåm y teá </t>
  </si>
  <si>
    <t>- Baûo hieåm xaõ hoäi</t>
  </si>
  <si>
    <t>22.</t>
  </si>
  <si>
    <t>VI.30</t>
  </si>
  <si>
    <t>VI.25</t>
  </si>
  <si>
    <t>29.</t>
  </si>
  <si>
    <t>VIII.</t>
  </si>
  <si>
    <t>Thoâng tin boå sung cho caùc khoaûn muïc trình baøy trong Baùo Caùo Keát Quaû Hoaït Ñoäng Kinh Doanh</t>
  </si>
  <si>
    <t xml:space="preserve">BAÙO CAÙO KEÁT QUAÛ HOAÏT ÑOÄNG KINH DOANH </t>
  </si>
  <si>
    <t>VI.</t>
  </si>
  <si>
    <t>Tieàn vaø caùc khoaûn töông ñöông tieàn</t>
  </si>
  <si>
    <t xml:space="preserve">Coäng </t>
  </si>
  <si>
    <t xml:space="preserve">Haøng toàn kho </t>
  </si>
  <si>
    <t>Coäng giaù goác haøng toàn kho</t>
  </si>
  <si>
    <t>Toång Coäng</t>
  </si>
  <si>
    <t>8.</t>
  </si>
  <si>
    <t>Teân coâng ty: Coâng Ty Coå Phaàn Thuûy saûn Soá 4</t>
  </si>
  <si>
    <t>BAÙO CAÙO TAØI CHAÙNH TOÙM TAÉT</t>
  </si>
  <si>
    <t>Noäi dung</t>
  </si>
  <si>
    <t>Soá  cuoái kyø</t>
  </si>
  <si>
    <t>Soá ñaàu kyø</t>
  </si>
  <si>
    <t>I</t>
  </si>
  <si>
    <t>Taøi saûn ngaén haïn</t>
  </si>
  <si>
    <t>Caùc khoaûn ñaàu tö taøi chaùnh ngaén haïn</t>
  </si>
  <si>
    <t>Caùc khoaûn phaûi thu ngaén haïn</t>
  </si>
  <si>
    <t>Haøng toàn kho</t>
  </si>
  <si>
    <t>Taøi saûn ngaén haïn khaùc</t>
  </si>
  <si>
    <t>II</t>
  </si>
  <si>
    <t>Taøi saûn daøi haïn</t>
  </si>
  <si>
    <t>Caùc khoaûn phaûi thu daøi haïn</t>
  </si>
  <si>
    <t>Taøi saûn coá ñònh</t>
  </si>
  <si>
    <t xml:space="preserve">     - TSCÑ höõu hình</t>
  </si>
  <si>
    <t xml:space="preserve">     - TSCÑ voâ hình</t>
  </si>
  <si>
    <t xml:space="preserve">     - TSCÑ thueâ taøi chaùnh</t>
  </si>
  <si>
    <t xml:space="preserve">     - Chi phí XDCB dôû dang</t>
  </si>
  <si>
    <t>Baát ñoäng saûn ñaàu tö</t>
  </si>
  <si>
    <t>Caùc khoaûn ñaàu tö taøi chaùnh daøi haïn</t>
  </si>
  <si>
    <t>Taøi saûn daøi haïn khaùc</t>
  </si>
  <si>
    <t>III</t>
  </si>
  <si>
    <t>IV</t>
  </si>
  <si>
    <t>Nôï phaûi traû</t>
  </si>
  <si>
    <t>Nôï ngaén haïn</t>
  </si>
  <si>
    <t>Nôï daøi haïn</t>
  </si>
  <si>
    <t>Nôï khaùc</t>
  </si>
  <si>
    <t>V</t>
  </si>
  <si>
    <t xml:space="preserve">  </t>
  </si>
  <si>
    <t xml:space="preserve">     - Voán ñaàu tö cuûa chuû sôû höõu</t>
  </si>
  <si>
    <t xml:space="preserve">     - Thaëng dö voán coå phaàn</t>
  </si>
  <si>
    <t xml:space="preserve">     - Coå phieáu quyõ</t>
  </si>
  <si>
    <t xml:space="preserve">     - Cheânh leäch ñaùnh giaù laïi taøi saûn</t>
  </si>
  <si>
    <t xml:space="preserve">    - Cheânh leäch tyû giaù hoái ñoaùi</t>
  </si>
  <si>
    <t xml:space="preserve">    - Caùc quyõ</t>
  </si>
  <si>
    <t xml:space="preserve">    - Lôïi nhuaän sau thueá chöa phaân phoái</t>
  </si>
  <si>
    <t xml:space="preserve">    - Nguoàn voán ñaàu tö XDCB</t>
  </si>
  <si>
    <t>Nguoàn kinh phí vaø quyõ</t>
  </si>
  <si>
    <t xml:space="preserve">    - Quyõ khen thöôûng phuùc lôïi</t>
  </si>
  <si>
    <t xml:space="preserve">    - Nguoàn kinh phí</t>
  </si>
  <si>
    <t xml:space="preserve">    - Nguoàn kinh phí ñaõ hình thaønh TSCÑ</t>
  </si>
  <si>
    <t>VI</t>
  </si>
  <si>
    <t>KEÁT QUAÛ HOAÏT ÑOÄNG KINH DOANH</t>
  </si>
  <si>
    <t xml:space="preserve">Luõy keá töø ñaàu naêm </t>
  </si>
  <si>
    <t>Doanh thu baùn haøng vaø cung caáp dòch vuï</t>
  </si>
  <si>
    <t>LN goäp veà baùn haøng vaø cung caáp dòch vuï</t>
  </si>
  <si>
    <t>Doanh thu hoaït ñoäng taøi chính</t>
  </si>
  <si>
    <t>Chi phí taøi chính</t>
  </si>
  <si>
    <t>Chi phí baùn haøng</t>
  </si>
  <si>
    <t>Chi phí quaûn lyù doanh nghieäp</t>
  </si>
  <si>
    <t>Lôïi nhuaän thuaàn töø hoaït ñoäng kinh doanh</t>
  </si>
  <si>
    <t>Thu nhaäp khaùc</t>
  </si>
  <si>
    <t xml:space="preserve">Chi phí khaùc </t>
  </si>
  <si>
    <t>Lôïi nhuaän khaùc</t>
  </si>
  <si>
    <t>Toång lôïi nhuaän keá toaùn tröôùc thueá</t>
  </si>
  <si>
    <t>Thueá thu nhaäp doanh nghieäp (*)</t>
  </si>
  <si>
    <t>Lôïi nhuaän sau thueá thu nhaäp doanh nhgieäp</t>
  </si>
  <si>
    <t>Laõi cô baûn treân coå phieáu</t>
  </si>
  <si>
    <t>Coå töùc treân moãi coå phieáu</t>
  </si>
  <si>
    <r>
      <t xml:space="preserve">    Ghi chuù:  (*)   Naêm 2007 CN coâng ty taïi Kieân Giang ñuôïc mieãn</t>
    </r>
    <r>
      <rPr>
        <b/>
        <sz val="11"/>
        <rFont val="VNI-Times"/>
        <family val="0"/>
      </rPr>
      <t xml:space="preserve"> thueá thu nhaäp doanh nghieäp</t>
    </r>
    <r>
      <rPr>
        <sz val="11"/>
        <rFont val="VNI-Times"/>
        <family val="0"/>
      </rPr>
      <t xml:space="preserve"> . </t>
    </r>
  </si>
  <si>
    <r>
      <t xml:space="preserve">                           </t>
    </r>
    <r>
      <rPr>
        <sz val="12"/>
        <rFont val="Vni-times"/>
        <family val="0"/>
      </rPr>
      <t>Naêm 2007</t>
    </r>
    <r>
      <rPr>
        <b/>
        <sz val="12"/>
        <rFont val="VNI-Times"/>
        <family val="0"/>
      </rPr>
      <t xml:space="preserve"> </t>
    </r>
    <r>
      <rPr>
        <sz val="12"/>
        <rFont val="Vni-times"/>
        <family val="0"/>
      </rPr>
      <t>Coâng Ty taïi TP. HCM ñöôïc</t>
    </r>
    <r>
      <rPr>
        <b/>
        <sz val="12"/>
        <rFont val="VNI-Times"/>
        <family val="0"/>
      </rPr>
      <t xml:space="preserve"> giaûm 50% thueá thu nhaäp doanh nghieäp</t>
    </r>
  </si>
  <si>
    <t>11.</t>
  </si>
  <si>
    <t xml:space="preserve">Khoaûn muïc </t>
  </si>
  <si>
    <t>16.</t>
  </si>
  <si>
    <t xml:space="preserve">- Tieàn maët </t>
  </si>
  <si>
    <t xml:space="preserve">- Tieàn göûi ngaân haøng </t>
  </si>
  <si>
    <t>- Caùc khoaûn töông ñöông tieàn</t>
  </si>
  <si>
    <t xml:space="preserve">- Nguyeân lieäu, vaät lieäu </t>
  </si>
  <si>
    <t xml:space="preserve">- Thaønh phaåm </t>
  </si>
  <si>
    <t xml:space="preserve">                      Keá toaùn tröôûng</t>
  </si>
  <si>
    <t xml:space="preserve">                              Keá toaùn tröôûng</t>
  </si>
  <si>
    <t>Ghi nhaän chi phí phaûi traû</t>
  </si>
  <si>
    <t>9.</t>
  </si>
  <si>
    <t>Nguyeân taéc vaø phöông phaùp ghi nhaän caùc khoaûn döï phoøng phaûi traû.</t>
  </si>
  <si>
    <t>Nieân ñoä keá toaùn: baét ñaàu töø ngaøy 01 thaùng 01 keát thuùc vaøo ngaøy 31 thaùng 12.</t>
  </si>
  <si>
    <t>Caùc khoaûn phaûi traû, phaûi noäp ngaén haïn khaùc</t>
  </si>
  <si>
    <t>Caùc giao dòch veà voán vôùi caùc chuû sôû höõu vaø phaân phoái coå töùc, chia lôïi nhuaän</t>
  </si>
  <si>
    <t>+ Voán goùp ñaàu naêm</t>
  </si>
  <si>
    <t>+ Voán goùp cuoái naêm</t>
  </si>
  <si>
    <t>- Chi phí nguyeân lieäu, vaät lieäu</t>
  </si>
  <si>
    <t>b-</t>
  </si>
  <si>
    <t>a-</t>
  </si>
  <si>
    <t>c-</t>
  </si>
  <si>
    <t>d-</t>
  </si>
  <si>
    <t>e-</t>
  </si>
  <si>
    <t>+ Phuï caáp ban kieåm soaùt</t>
  </si>
  <si>
    <t>17- Lôïi nhuaän sau thueá TNDN</t>
  </si>
  <si>
    <t>16- Chi phí thueá TNDN hoaõn laïi</t>
  </si>
  <si>
    <t>VI.26</t>
  </si>
  <si>
    <t>7- Chi phí taøi chính</t>
  </si>
  <si>
    <t>15- Chi phí thueá TNDN hieän haønh</t>
  </si>
  <si>
    <t xml:space="preserve">  Toång lôïi nhuaän keá toaùn chòu thueá TNDN</t>
  </si>
  <si>
    <t>Chi phí thueá TNDN hieän haønh</t>
  </si>
  <si>
    <t>13.</t>
  </si>
  <si>
    <t>Nguyeân taéc vaø phöông phaùp ghi nhaän chi phí thueá thu nhaäp doanh nghieäp hieän haønh</t>
  </si>
  <si>
    <t>V.5</t>
  </si>
  <si>
    <t>7. Nguoàn voán khaáu hao cô baûn hieän coù (*)</t>
  </si>
  <si>
    <t>Hình thöùc sôû höõu voán: Coâng ty coå phaàn.</t>
  </si>
  <si>
    <t>Hình thöùc keá toaùn aùp duïng: Nhaât kyù chung.</t>
  </si>
  <si>
    <t xml:space="preserve">- Traû tröôùc cho ngöôøi baùn </t>
  </si>
  <si>
    <t xml:space="preserve">26. </t>
  </si>
  <si>
    <t>Caùc khoaûn giaûm tröø doanh thu</t>
  </si>
  <si>
    <t>- Haøng baùn bò traû laïi</t>
  </si>
  <si>
    <t xml:space="preserve">- Thueá TNCN </t>
  </si>
  <si>
    <t>- Taïm öùng</t>
  </si>
  <si>
    <t>Phöông phaùp laäp döï phoøng giaûm giaù haøng toàn kho: aùp duïng theo thoâng tö 13/TT-BTC ngaøy 27/02/2006 cuûa Boä Taøi Chính.</t>
  </si>
  <si>
    <t xml:space="preserve">* Nguyeân giaù TSCÑ cuoái kyø ñaõ khaáu hao heát nhöng vaãn coøn söû duïng:  </t>
  </si>
  <si>
    <t>Phöông tieän        vaän taûi</t>
  </si>
  <si>
    <t xml:space="preserve">Baûng ñoái chieáu bieán ñoäng voán chuû sôû höõu </t>
  </si>
  <si>
    <t xml:space="preserve">ñ- </t>
  </si>
  <si>
    <t>Coå phieáu:</t>
  </si>
  <si>
    <t>Caùc quyõ cuûa doanh nghieäp:</t>
  </si>
  <si>
    <t>Lôïi nhuaän sau thueá chöa phaân phoái</t>
  </si>
  <si>
    <t>Toång doanh thu baùn haøng vaø cung caáp dòch vuï (maõ soá 01)</t>
  </si>
  <si>
    <t>- Giaù voán thaønh phaåm ñaõ baùn</t>
  </si>
  <si>
    <t xml:space="preserve">Cheá ñoä keá toaùn Doanh nghieäp Vieät Nam ban haønh theo Quyeát Ñònh soá 15/2006/QÑ-BTC ngaøy 20/3/2006 cuûa Boä Taøi Chính. </t>
  </si>
  <si>
    <t>- Chi phí thueá TNDN tính treân thu nhaäp chòu thueá naêm hieän haønh</t>
  </si>
  <si>
    <t>Ngaønh ngheà kinh doanh: Thu mua, cheá bieán caùc maët haøng thuûy haûi saûn, noâng saûn, thuûy haûi saûn, suùc saûn. Kinh doanh xuaát nhaäp khaåu tröïc tieáp thuûy haûi saûn, noâng saûn, suùc saûn vaø caùc loaïi haøng hoùa, vaät tö, thieát bò, coâng ngheä phaåm phuïc vuï cho caùc nhu caàu saûn xuaát kinh doanh trong vaø ngoaøi ngaønh. Dòch vuï baûo trì, baûo döôõng söûa chöõa caùc thieát bò cô ñieän laïnh. Saûn xuaát kinh doanh caùc nghaønh ngheà khaùc theo qui ñònh cuûa phaùp luaät Vieät Nam. Kinh doanh nhaø; cho thueâ vaên phoøng. Saûn xuaát, gia coâng, mua baùn haøng may maëc (tröø taåy nhuoäm).</t>
  </si>
  <si>
    <t>1- Phaûi thu daøi haïn cuûa khaùch haøng</t>
  </si>
  <si>
    <t>1- Chi phí traû tröôùc daøi haïn</t>
  </si>
  <si>
    <t>V.14</t>
  </si>
  <si>
    <t>Toång Giaùm Ñoác</t>
  </si>
  <si>
    <t xml:space="preserve">3- Phaûi thu noäi boä ngaén haïn </t>
  </si>
  <si>
    <t>3- Phaûi traû daøi haïn khaùc</t>
  </si>
  <si>
    <t>2- Caùc khoaûn giaûm tröø doanh thu</t>
  </si>
  <si>
    <t>Trong ñoù: Chi phí laõi vay</t>
  </si>
  <si>
    <t>+ Trôï caáp thoâi vieäc DNNN</t>
  </si>
  <si>
    <t>+ Toång Cty Thuûy Saûn Vieät Nam</t>
  </si>
  <si>
    <t>+ Thu hoaøn thueá</t>
  </si>
  <si>
    <t>+ CNV vay tieàn mua coå phieáu</t>
  </si>
  <si>
    <t>- Coâng cuï, duïng cuï</t>
  </si>
  <si>
    <t>- Chi phí SX, KD dôû dang</t>
  </si>
  <si>
    <t xml:space="preserve">CAÙC BUÙT TOAÙN ÑIEÀU CHÆNH </t>
  </si>
  <si>
    <t>Nieân ñoä keát thuùc ngaøy 31/12/2005</t>
  </si>
  <si>
    <t xml:space="preserve">ÑVT: VNÑ </t>
  </si>
  <si>
    <t>STT</t>
  </si>
  <si>
    <t xml:space="preserve">Tham </t>
  </si>
  <si>
    <t xml:space="preserve">DIEÃN GIAÛI </t>
  </si>
  <si>
    <t xml:space="preserve">A.H Caân ñoái keá toaùn </t>
  </si>
  <si>
    <t xml:space="preserve">A.H. Keát quaû kinh doanh </t>
  </si>
  <si>
    <t xml:space="preserve">chieáu </t>
  </si>
  <si>
    <t xml:space="preserve">NÔÏ </t>
  </si>
  <si>
    <t xml:space="preserve">COÙ </t>
  </si>
  <si>
    <t>1</t>
  </si>
  <si>
    <t>L200</t>
  </si>
  <si>
    <t>Nôï TK 112/ Coù TK 421(515)</t>
  </si>
  <si>
    <t>K200</t>
  </si>
  <si>
    <t>E300</t>
  </si>
  <si>
    <t>C400</t>
  </si>
  <si>
    <t>Nôï TK 421(642)/ Coù TK 242</t>
  </si>
  <si>
    <t>+ Khaùc</t>
  </si>
  <si>
    <t>5- Taøi saûn ngaén haïn khaùc</t>
  </si>
  <si>
    <t>- Ñaàu tö XDCB hoaøn thaønh</t>
  </si>
  <si>
    <t>- Thanh lyù</t>
  </si>
  <si>
    <t>Duïng cuï         quaûn lyù</t>
  </si>
  <si>
    <t>Chi phí xaây döïng cô baûn dôû dang</t>
  </si>
  <si>
    <t>- Toång chi phí xaây döïng cô baûn dôû dang:</t>
  </si>
  <si>
    <t>+ Coâng trình chung cö cao taàng Beán Vaân Ñoàn</t>
  </si>
  <si>
    <t>Chi phí traû tröôùc daøi haïn</t>
  </si>
  <si>
    <t>14.</t>
  </si>
  <si>
    <t>- Chieát khaáu boä chöùng töø xuaát haøng</t>
  </si>
  <si>
    <t>- BHXH, BHYT</t>
  </si>
  <si>
    <t>- Coå töùc traû coå ñoâng 2005</t>
  </si>
  <si>
    <t>- Caùc khoaûn phaûi traû khaùc</t>
  </si>
  <si>
    <t>- Voán goùp cuûa Nhaø nöôùc</t>
  </si>
  <si>
    <t>- Voán goùp cuûa coå ñoâng trong nöôùc</t>
  </si>
  <si>
    <t>- Voán goùp cuûa coå ñoâng nöôùc ngoaøi</t>
  </si>
  <si>
    <t>- Thaëng dö voán coå phaàn</t>
  </si>
  <si>
    <t>+ Voán goùp taêng trong naêm</t>
  </si>
  <si>
    <t>- Coå töùc, lôïi nhuaän ñaõ chia</t>
  </si>
  <si>
    <t>Coå töùc</t>
  </si>
  <si>
    <t>Coå töùc ñaõ coâng boá sau ngaøy keát thuùc kyø keá toaùn naêm:</t>
  </si>
  <si>
    <t>+ Coå phieáu phoå thoâng</t>
  </si>
  <si>
    <t>Maãu soá B03- DN</t>
  </si>
  <si>
    <t xml:space="preserve">BAÙO CAÙO LÖU CHUYEÅN TIEÀN TEÄ  </t>
  </si>
  <si>
    <t>(Theo phöông phaùp giaùn tieáp)</t>
  </si>
  <si>
    <t>I. Löu chuyeån tieàn töø hoaït ñoäng kinh doanh</t>
  </si>
  <si>
    <t>1- Lôïi nhuaän tröôùc thueá:</t>
  </si>
  <si>
    <t>2- Ñieàu chænh cho caùc khoaûn:</t>
  </si>
  <si>
    <t>- Khaáu hao taøi saûn coá ñònh</t>
  </si>
  <si>
    <t>02</t>
  </si>
  <si>
    <t>- Caùc khoaûn döï phoøng</t>
  </si>
  <si>
    <t>- Laõi, loã cheânh leäch tæ giaù hoái ñoaùi chöa thöïc hieän</t>
  </si>
  <si>
    <t>04</t>
  </si>
  <si>
    <t>- Laõi, loã töø hoaït ñoäng ñaàu tö</t>
  </si>
  <si>
    <t>05</t>
  </si>
  <si>
    <t>- Chi phí laõi vay</t>
  </si>
  <si>
    <t>06</t>
  </si>
  <si>
    <t>3- Lôïi nhuaän töø hoaït ñoäng kinh doanh tröôùc nhöõng thay ñoåi voán löu ñoäng</t>
  </si>
  <si>
    <t>08</t>
  </si>
  <si>
    <t>- Taêng giaûm caùc khoaûn phaûi thu</t>
  </si>
  <si>
    <t>09</t>
  </si>
  <si>
    <t>- Taêng giaûm haøng toàn kho</t>
  </si>
  <si>
    <t xml:space="preserve">- Taêng giaûm caùc khoaûn phaûi traû </t>
  </si>
  <si>
    <t>- Taêng giaûm chi phí traû tröôùc</t>
  </si>
  <si>
    <t>- Tieàn laõi vay ñaõ traû</t>
  </si>
  <si>
    <t>- Thueá thu nhaäp ñaõ noäp</t>
  </si>
  <si>
    <t>- Tieàn thu khaùc töø hoaït ñoäng kinh doanh</t>
  </si>
  <si>
    <t>- Tieàn chi khaùc töø hoaït ñoäng kinh doanh</t>
  </si>
  <si>
    <t>Löu chuyeån tieàn thuaàn töø hoaït ñoäng kinh doanh</t>
  </si>
  <si>
    <t>II. Löu chuyeån tieàn töø hoaït ñoäng ñaàu tö</t>
  </si>
  <si>
    <t>1- Tieàn chi ñeå mua saém, xaây döïng TSCÑ</t>
  </si>
  <si>
    <t>2- Tieàn thu töø thanh lyù, nhöôïng baùn TSCÑ</t>
  </si>
  <si>
    <t>7- Tieàn thu laõi cho vay, coå töùc vaø lôïi nhuaän ñöôïc chia</t>
  </si>
  <si>
    <t>Löu chuyeån tieàn thuaàn töø hoaït ñoäng ñaàu tö</t>
  </si>
  <si>
    <t>III. Löu chuyeån tieàn töø hoaït ñoäng taøi chính</t>
  </si>
  <si>
    <t>1- Tieàn thu töø phaùt haønh coå phieáu, nhaän voán goùp cuûa chuû sôû höõu</t>
  </si>
  <si>
    <t>3- Tieàn vay ngaén haïn, daøi haïn nhaän ñöôïc</t>
  </si>
  <si>
    <t>4- Tieàn chi traû nôï goác vay</t>
  </si>
  <si>
    <t>Ñôn vò tính: VNÑ</t>
  </si>
  <si>
    <t>- Thueá thu nhaäp doanh nghieäp noäp thöøa naêm 2006</t>
  </si>
  <si>
    <t>- Tam chia coå töùc cho coå ñoâng naêm 2007</t>
  </si>
  <si>
    <t xml:space="preserve">COÂNG TY COÅ PHAÀN THUYÛ SAÛN SOÁ 4 </t>
  </si>
  <si>
    <t>Thaønh laäp:</t>
  </si>
  <si>
    <t>- Coâng ty Coå Phaàn Thuûy Saûn Soá 4 ñöôïc thaønh laäp theo giaáy chöùng nhaän ñaêng kyù kinh doanh soá 4103000436 (ñaêng kyù thay ñoåi laàn 4 ngaøy 15 thaùng 8 naêm 2006) do Sôû Keá hoaïch vaø Ñaàu tö Thaønh phoá Hoà Chí Minh caáp ngaøy 31 thaùng 5 naêm 2001.)</t>
  </si>
  <si>
    <t>- Chi Nhaùnh Coâng ty Coå Phaàn Thuûy Saûn Soá 4 ñöôïc thaønh laäp theo giaáy chöùng nhaän ñaêng kyù hoaït ñoäng soá 56-13-000547 ngaøy 30 thaùng 5 naêm 2006 do Sôû Keá hoaïch vaø Ñaàu tö Tænh Kieân Giang caáp.</t>
  </si>
  <si>
    <t>Nguyeân taéc ghi nhaän: theo giaù goác. Giaù goác haøng toàn kho bao goàm chi phí mua, chi phí cheá bieán vaø caùc chi phí lieân quan tröïc tieáp khaùc phaùt sinh ñeå coù ñöôïc haøng toàn kho ôû ñòa ñieåm vaø traïng thaùi hieän taïi.</t>
  </si>
  <si>
    <t>Nguyeân taéc ghi nhaän TSCÑ höõu hình: laø toaøn boä caùc chi phí maø doanh nghieäp boû ra ñeå coù taøi saûn coá ñònh tính ñeán thôøi ñieåm ñöa taøi saûn ñoù vaøo traïng thaùi saün saøng söû duïng. Caùc chi phí phaùt sinh sau ghi nhaän ban ñaàu chæ ñöôïc ghi taêng nguyeân giaù taøi saûn coá ñònh neáu caùc chi phí naøy chaéc chaén laøm taêng lôïi ích kinh teá trong töông lai do söû duïng taøi saûn ñoù. Caùc chi phí khoâng thoûa maõn ñieàu kieän treân ñöôïc ghi nhaän laø chi phí trong kyø.</t>
  </si>
  <si>
    <t>Phöông phaùp khaáu hao TSCÑ: Khaáu hao ñöôïc tính döïa treân nguyeân giaù cuûa taøi saûn coá ñònh vaø theo phöông phaùp khaáu hao ñöôøng thaúng. Tyû leä khaáu hao haøng naêm döa treân möùc ñoä höõu duïng döï tính cuûa TSCÑ phuø hôïp vôùi quyeát ñònh soá 206/2003/QÑ-BTC ban haønh ngaøy 12/12/2003 cuûa Boä Taøi Chính.</t>
  </si>
  <si>
    <t>- Döï phoøng toån thaát cho caùc khoaûn ñaàu tö taøi chính vaøo caùc toå chöùc kinh teá khaùc khi caùc toå chöùc kinh teá naøy bò loã (tröø tröôøng hôïp loã theo keá hoaïch ñaõ ñöôïc xaùc ñònh trong phöông aùn kinh doanh tröôùc khi ñaàu tö). Vôùi möùc trích laäp töông öùng vôùi tæ leä goùp voán cuûa Coâng Ty trong caùc toå chöùc kinh teá naøy.</t>
  </si>
  <si>
    <t>Chi phí phaûi traû ñöôïc ghi nhaän döïa treân caùc öôùc tính hôïp lyù veà soá tieàn phaûi traû cho caùc haøng hoùa, dòch vuï ñaõ söû duïng trong kyø nhöng chöa coù hoaù ñôn, chöùng töø.</t>
  </si>
  <si>
    <t>Quyõ döï phoøng trôï caáp maát vieäc khoâng trích laäp, thöïc teá phaùt sinh seõ ñöôïc haïch toaùn vaøo chi phí trong nieân ñoä.</t>
  </si>
  <si>
    <t>- Nguyeân taéc ghi nhaän voán ñaàu tö cuûa chuû sôû höõu, thaëng dö voán coå phaàn: ñöôïc ghi nhaän theo soá thöïc teá ñaõ ñaàu tö goùp voán cuûa caùc coå ñoâng.</t>
  </si>
  <si>
    <t>Doanh thu baùn thaønh phaåm, haøng hoùa ñöôïc ghi nhaän khi phaàn lôùn ruûi ro vaø lôïi ích gaén lieàn vôùi quyeàn sôû höõu saûn phaåm, haøng hoùa ñöôïc chuyeån giao cho ngöôøi mua vaø khoâng coøn toàn taïi yeáu toá khoâng chaéc chaén ñaùng keå lieân quan ñeán vieäc thanh toaùn tieàn, chi phí keøm theo hoaëc khaû naêng baùn haøng bò traû laïi.</t>
  </si>
  <si>
    <t>Thueá thu nhaäp hieän haønh laø khoaûn thueá ñöôïc tính döïa treân thu nhaäp chòu thueá trong kyø vôùi thueá suaát aùp duïng taïi ngaøy cuoái kyø. Thu nhaäp chòu thueá cheânh leäch so vôùi lôïi nhuaän keá toaùn laø do ñieàu chænh caùc khoaûn cheânh leäch taïm thôøi giöõa thueá vaø keá toaùn cuõng nhö ñieàu chænh caùc khoaûn thu nhaäp vaø chi phí khoâng phaûi chòu thueá hay khoâng ñöôïc khaáu tröø.</t>
  </si>
  <si>
    <t>Coâng ty coù nghóa vuï noäp thueá TNDN nhö sau:</t>
  </si>
  <si>
    <t xml:space="preserve">- Ñoái vôùi nhaø maùy ñaët taïi Thaønh phoá Hoà Chí Minh - coù nghóa vuï noäp thueá TNDN vôùi thueá suaát laø 20% treân thu nhaäp chòu thueá. </t>
  </si>
  <si>
    <t xml:space="preserve">- Ñoái vôùi Chi nhaùnh Kieân Giang baét ñaàu ñi vaøo hoaït ñoäng thaùng 5/2006, döï aùn ñaàu tö saûn xuaát naøy ñöôïc mieãn thueá TNDN laø 4 naêm, baét ñaàu tính töø naêm 2007. </t>
  </si>
  <si>
    <t>Tieàn</t>
  </si>
  <si>
    <t>- Traû tröôùc ngöôøi baùn</t>
  </si>
  <si>
    <t>Nhaø xöôûng,           vaät kieán truùc</t>
  </si>
  <si>
    <t>Maùy moùc                  thieát bò</t>
  </si>
  <si>
    <t>- Khaáu hao trong kyø</t>
  </si>
  <si>
    <t xml:space="preserve">Tình hình taêng giaûm taøi saûn coá ñònh voâ hình </t>
  </si>
  <si>
    <t>Chi phí san laáp maët baèng</t>
  </si>
  <si>
    <t xml:space="preserve">Phaàn meàm 
maùy vi tính </t>
  </si>
  <si>
    <t xml:space="preserve"> Nguyeân giaù TSCÑ voâ hình</t>
  </si>
  <si>
    <t>1. Soá dö ñaàu naêm</t>
  </si>
  <si>
    <t>2. Mua trong naêm</t>
  </si>
  <si>
    <t>- Taïo ra töø noäi boä doanh nghieäp</t>
  </si>
  <si>
    <t xml:space="preserve">- Taêng do hôïp nhaát kinh doanh </t>
  </si>
  <si>
    <t xml:space="preserve">- Thanh lyù, nhöôïng baùn </t>
  </si>
  <si>
    <t xml:space="preserve">- Giaûm khaùc </t>
  </si>
  <si>
    <t>3. Soá dö cuoái naêm</t>
  </si>
  <si>
    <t xml:space="preserve"> Giaù trò hao moøn luõy keá</t>
  </si>
  <si>
    <t>2. Khaáu hao trong naêm</t>
  </si>
  <si>
    <t xml:space="preserve"> Giaù trò coøn laïi cuûa TSCÑ voâ hình</t>
  </si>
  <si>
    <t>1. Taïi ngaøy ñaàu naêm</t>
  </si>
  <si>
    <t>2. Taïi ngaøy cuoái naêm</t>
  </si>
  <si>
    <t>+ Coâng trình nhaø maùy Kieân Giang</t>
  </si>
  <si>
    <t>+ Coâng trình nhaø maùy Ñoàng Thaùp</t>
  </si>
  <si>
    <t>- Chi phí thaønh laäp (chi nhaùnh) (*)</t>
  </si>
  <si>
    <t>- Chi phí söûa chöõa phaân xöôûng, TSCÑ chuyeån CCDC</t>
  </si>
  <si>
    <r>
      <t xml:space="preserve">(*) </t>
    </r>
    <r>
      <rPr>
        <sz val="10"/>
        <rFont val="VNI-Helve-Condense"/>
        <family val="0"/>
      </rPr>
      <t>Chi phí thaønh laäp Chi nhaùnh goàm: Caùc chi phí chuaån bò thaønh laäp, chi phí coâng cuï duïng cuï, chi phí ñaøo taïo,... trong giai ñoaïn tröôùc khi chi nhaùnh ñöôïc ñöa vaøo hoaït ñoäng. Chi phí naøy ñöôïc phaân boå trong thôøi gian 3 naêm.</t>
    </r>
  </si>
  <si>
    <t>15.</t>
  </si>
  <si>
    <t>Vay vaø nôï ngaén haïn</t>
  </si>
  <si>
    <t xml:space="preserve">Vay ngaén haïn Ngaân Haøng Ñaàu Tö &amp; Phaùt Trieån VN CN Kieân Giang theo HÑTD soá </t>
  </si>
  <si>
    <t>- Haïn möùc vay:  5.000.000.000 ñoàng.</t>
  </si>
  <si>
    <t>- Muïc ñích vay: boå sung voán löu ñoäng thanh toaùn caùc chi phí saûn xuaát kinh doanh xuaát khaåu haûi saûn.</t>
  </si>
  <si>
    <t>- Hình thöùc ñaûm baûo tieàn vay: Giaù trò nhaø xöôûng, nhaø vaên phoøng, maùy moùc thieát bò vaø phöông tieän vaän chuyeån thuoäc quyeàn sôû höõu cuûa Coâng Ty Coå Phaàn Thuûy Saûn 4.</t>
  </si>
  <si>
    <t>17.</t>
  </si>
  <si>
    <t>Chi phí phaûi traû</t>
  </si>
  <si>
    <t>- Quyõ trôï caáp maát vieäc laøm</t>
  </si>
  <si>
    <t>20.</t>
  </si>
  <si>
    <t>Vay vaø nôï daøi haïn</t>
  </si>
  <si>
    <t>a. Vay daøi haïn</t>
  </si>
  <si>
    <t>(*) Vay daøi haïn Ngaân haøng Ñaàu tö vaø Phaùt trieån - Chi nhaùnh Kieân Giang theo HÑTD soá 01/2006/HÑ.</t>
  </si>
  <si>
    <t>- Muïc ñích vay: boå sung hoaøn thieän nhaø maùy cheá bieán thuûy saûn xuaát khaåu chaát löôïng cao.</t>
  </si>
  <si>
    <t xml:space="preserve">- Hình thöùc ñaûm baûo tieàn vay: Giaù trò san laáp maët baèng, nhaø xöôûng, vaät kieán truùc, maùy moùc, trang thieát bò phuïc vuï cho hoaït ñoäng cuûa Chi Nhaùnh Coâng Ty Coå Phaàn Thuûy Saûn 4 - Kieân Giang. </t>
  </si>
  <si>
    <t>Voán ñaàu tö cuûa     chuû sôû höõu</t>
  </si>
  <si>
    <t>Thaëng dö voán        coà phaàn</t>
  </si>
  <si>
    <t>Quyõ ñaàu tö          phaùt trieån</t>
  </si>
  <si>
    <t xml:space="preserve">Soá dö ñaàu kyø </t>
  </si>
  <si>
    <t>- Taêng voán trong naêm tröôùc</t>
  </si>
  <si>
    <t>- Laõi trong kyø</t>
  </si>
  <si>
    <t>- Trích quyõ töø LN 2006</t>
  </si>
  <si>
    <t>Soá dö cuoái naêm nay</t>
  </si>
  <si>
    <r>
      <t>Ghi chuù:</t>
    </r>
    <r>
      <rPr>
        <b/>
        <i/>
        <sz val="10"/>
        <rFont val="VNI-Helve-Condense"/>
        <family val="0"/>
      </rPr>
      <t xml:space="preserve"> Lôïi nhuaän ñaït ñöôïc cuûa nieân ñoä 2006  ñöôïc phaân chia caùc quyõ vaø coå töùc cho caùc coå ñoâng theo Quyeát ñònh cuûa Bieân baûn hoïp Ñaïi hoäi coå ñoâng höôøng nieân naêm 2006.</t>
    </r>
  </si>
  <si>
    <t>* Meänh giaù coå phieáu ñang löu haønh: 10.000 ñ/CP</t>
  </si>
  <si>
    <t>- Quyõ ñaàu tö phaùt trieån: naêm 2006 trích 2% lôïi nhuaän ñeå laïi.</t>
  </si>
  <si>
    <t>- Quyõ döï phoøng taøi chính: naêm 2006 trích 5,67% lôïi nhuaän ñeå laïi</t>
  </si>
  <si>
    <t>Doanh thu thuaàn veà baùn haøng vaø cung caáp dòch vuï</t>
  </si>
  <si>
    <t>- Laõi thu ñöôïc do khaùch hnaøgn traû chaäm tieàn haøng</t>
  </si>
  <si>
    <t>+ Thu nhaäp chòu thueá suaát 20%</t>
  </si>
  <si>
    <t>+ Thu nhaäp chòu thueá suaát 15%</t>
  </si>
  <si>
    <t>5. Thoâng tin so saùnh ñöôïc</t>
  </si>
  <si>
    <t>7. Nhöõng thoâng tin khaùc.</t>
  </si>
  <si>
    <t>COÂNG TY COÅ PHAÀN THUÛY SAÛN SOÁ 4</t>
  </si>
  <si>
    <t>6- Tieàn chi ñaàu tö goùp voán vaøo ñôn vò khaùc</t>
  </si>
  <si>
    <t xml:space="preserve"> 4- Vay vaø nôï daøi haïn</t>
  </si>
  <si>
    <t xml:space="preserve"> 3- Ñaàu tö daøi haïn khaùc</t>
  </si>
  <si>
    <t>Luyõ keá töø ñaàu naêm</t>
  </si>
  <si>
    <t>Naêm nay</t>
  </si>
  <si>
    <t>Naêm tröôùc</t>
  </si>
  <si>
    <t>6- Coå töùc, lôïi nhuaän ñaõ traû cho chuû sôû höõu</t>
  </si>
  <si>
    <t>Löu chuyeån tieàn thuaàn töø hoaït ñoäng taøi chính</t>
  </si>
  <si>
    <t>40</t>
  </si>
  <si>
    <t>Löu chuyeån tieàn thuaàn trong kì</t>
  </si>
  <si>
    <t>Tieàn vaø töông ñöông tieàn toàn ñaàu kì</t>
  </si>
  <si>
    <t>Aûnh höôûng cuûa thay ñoåi tyû giaù hoái ñoaùi quy ñoåi ngoaïi teä</t>
  </si>
  <si>
    <t>Tieàn vaø töông ñöông tieàn toàn cuoái kì</t>
  </si>
  <si>
    <t xml:space="preserve">                            Keá toaùn tröôûng</t>
  </si>
  <si>
    <t xml:space="preserve">- Nguyeân taéc ghi nhaän lôïi nhuaän chöa phaân phoái: ñöôïc trích laäp caùc quyõ vaø chia coå töùc cho caùc coå ñoâng theo quyeát ñònh cuûa Hoäi ñoàng quaûn trò vaø theo Ñieàu leä Coâng Ty.  </t>
  </si>
  <si>
    <t>- Giaûm khaùc</t>
  </si>
  <si>
    <t>Thueá vaø caùc khoaûn phaûi thu Nhaø nöôùc</t>
  </si>
  <si>
    <t>Soá dö ñaàu kyø</t>
  </si>
  <si>
    <t>- Mua trong kyø</t>
  </si>
  <si>
    <t>Soá dö cuoái kyø</t>
  </si>
  <si>
    <t>Taïi ngaøy ñaàu kyø</t>
  </si>
  <si>
    <t>Taïi ngaøy cuoái kyø</t>
  </si>
  <si>
    <t>+ Söûa chöõa TSCÑ</t>
  </si>
  <si>
    <t>+ Sôû Taøi Chaùnh hoã trôï di dôøi nhaø xöôûng</t>
  </si>
  <si>
    <t>Ñôn vò tieàn teä söû duïng trong keá toaùn vaø laäp baùo caùo taøi chính: Vieät Nam ñoàng.</t>
  </si>
  <si>
    <t>5. Ngoaïi teä caùc loaïi (USD)</t>
  </si>
  <si>
    <r>
      <t>2.</t>
    </r>
    <r>
      <rPr>
        <sz val="10"/>
        <rFont val="VNI-Helve-Condense"/>
        <family val="0"/>
      </rPr>
      <t xml:space="preserve"> </t>
    </r>
  </si>
  <si>
    <r>
      <t xml:space="preserve">Nguyeân taéc xaùc ñònh caùc khoaûn tieàn: </t>
    </r>
    <r>
      <rPr>
        <sz val="10"/>
        <rFont val="VNI-Helve-Condense"/>
        <family val="0"/>
      </rPr>
      <t>tieàn maët, tieàn göûi ngaân haøng, tieàn ñang chuyeån goàm:</t>
    </r>
  </si>
  <si>
    <r>
      <t xml:space="preserve">* </t>
    </r>
    <r>
      <rPr>
        <i/>
        <sz val="10"/>
        <rFont val="VNI-Helve-Condense"/>
        <family val="0"/>
      </rPr>
      <t>Muïc ñích trích laäp caùc quyõ ñaàu tö phaùt trieån, quyõ döï phoøng taøi chính:</t>
    </r>
  </si>
  <si>
    <t>Ñieàu chænh thueá TNDN phaûi noäp naêm 2006</t>
  </si>
  <si>
    <t>Nôï 421/ Coù TK 3334</t>
  </si>
  <si>
    <t>Ñieàu chænh chi phí hoã trôï di dôøi töø Sôû Taøi chính.</t>
  </si>
  <si>
    <t>Nôï TK 138/ Coù TK 421 (811)</t>
  </si>
  <si>
    <t>Nôï TK 138/ Coù 142</t>
  </si>
  <si>
    <t>COÂNG TY COÅ PHAÀN THUÛY SAÛN SOÁ 4 - VAÊN PHOØNG</t>
  </si>
  <si>
    <t xml:space="preserve">- Thueá thu nhaäp caù nhaân </t>
  </si>
  <si>
    <t>Quyù 04 naêm 2007</t>
  </si>
  <si>
    <t>31/12/2007</t>
  </si>
  <si>
    <t>Quý 04 năm 2007</t>
  </si>
  <si>
    <t>Quyù 04</t>
  </si>
  <si>
    <t>Quyù 4 naêm 2007</t>
  </si>
  <si>
    <t>Quyù 4 naêm 2006</t>
  </si>
  <si>
    <t>01/01/2007</t>
  </si>
  <si>
    <t>Ngaøy 21 thaùng 01 naêm 2008</t>
  </si>
  <si>
    <t>Ngày 21 tháng 01 năm 2008</t>
  </si>
  <si>
    <t>Ngaøy 21 thaøng 01 naêm 2008</t>
  </si>
  <si>
    <t>- Ngaân haøng Ñaàu Tö vaø Phaùt Trieån VN CN Kieân Giang ngaén haïn</t>
  </si>
  <si>
    <t>- Ngaân haøng Ngoaïi Thöông ngaén haïn</t>
  </si>
  <si>
    <t>- Haïn möùc vay:  10.000.000.000 ñoàng.</t>
  </si>
  <si>
    <t>(*) Vay ngaén haïn Ngaân haøng Ngoaïi Thöông Vieät Nam - Chi nhaùnh TPHCM theo HÑTD soá 0236/KH/07NH ngaøy 16/07/2007.</t>
  </si>
  <si>
    <t>(*) Vay daøi haïn Ngaân haøng Ngoaïi Thöông Vieät Nam - Chi nhaùnh TPHCM theo HÑTD soá 0035/TD1/07CD ngaøy 13 thaùng 11 naêm 2007, haïn möùc vay: 40.000.000.000 ñoàng.</t>
  </si>
  <si>
    <t xml:space="preserve">- Thueá GTGT </t>
  </si>
  <si>
    <t>- Vay daøi haïn ngaân haøng Ngoaïi Thöông(*)</t>
  </si>
  <si>
    <t>- Vay daøi haïn ngaân haøng Ñaàu Tö vaø Phaùt Trieån VN CN Kieân Giang(*)</t>
  </si>
  <si>
    <t>Hieän nay nhaø maùy taïi Ñoàng Thaùp ñang eùp coïc.</t>
  </si>
  <si>
    <t>Quyù 04 naêm 2007 Coâng ty  ñang eùp coïc chung cö cao taàng taïi 331 Beán Vaân Ñoàn, döï kieán ñeán heát thaùng 02 naêm 2008 hoaøn thaønh vieäc eùp coïc, ñeán thaùng 03 naêm 2008 coâng ty seõ tieán haønh baùn caên hoä ñôït 1 vaø thu tieàn ñôït 1 cuûa ñôït baùn naøy.</t>
  </si>
  <si>
    <t>Coâng ty seõ chuyeån traû coå töùc 06 thaùng cuoái naêm 2007 laø 6%, ñöôïc traû vaøo ngaøy 25 thaùng 02 naêm 2008.</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</si>
</sst>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0_);_(* \(#.##0.00\);_(* &quot;-&quot;??_);_(@_)"/>
    <numFmt numFmtId="167" formatCode="_(* #,##0.00_);_(* \(#,##0.00\);_(* &quot;-&quot;_);_(@_)"/>
    <numFmt numFmtId="168" formatCode="0#"/>
    <numFmt numFmtId="169" formatCode="&quot;\&quot;#,##0;[Red]&quot;\&quot;\-#,##0"/>
    <numFmt numFmtId="170" formatCode="&quot;\&quot;#,##0.00;[Red]&quot;\&quot;\-#,##0.00"/>
    <numFmt numFmtId="171" formatCode="\$#,##0\ ;\(\$#,##0\)"/>
    <numFmt numFmtId="172" formatCode="&quot;\&quot;#,##0;[Red]&quot;\&quot;&quot;\&quot;\-#,##0"/>
    <numFmt numFmtId="173" formatCode="&quot;\&quot;#,##0.00;[Red]&quot;\&quot;&quot;\&quot;&quot;\&quot;&quot;\&quot;&quot;\&quot;&quot;\&quot;\-#,##0.00"/>
    <numFmt numFmtId="174" formatCode="_(* #,##0.0_);_(* \(#,##0.0\);_(* &quot;-&quot;??_);_(@_)"/>
    <numFmt numFmtId="175" formatCode="#,##0.000"/>
    <numFmt numFmtId="176" formatCode="0.0"/>
    <numFmt numFmtId="177" formatCode="0.00_);\(0.00\)"/>
    <numFmt numFmtId="178" formatCode="_(* #,##0.0_);_(* \(#,##0.0\);_(* &quot;-&quot;_);_(@_)"/>
    <numFmt numFmtId="179" formatCode="_(* #,##0.000_);_(* \(#,##0.000\);_(* &quot;-&quot;_);_(@_)"/>
    <numFmt numFmtId="180" formatCode="_(* #,##0.0000_);_(* \(#,##0.0000\);_(* &quot;-&quot;_);_(@_)"/>
    <numFmt numFmtId="181" formatCode="_(* #,##0.00000_);_(* \(#,##0.00000\);_(* &quot;-&quot;_);_(@_)"/>
    <numFmt numFmtId="182" formatCode="[$-409]dddd\,\ dd\ mmmm\,\ yyyy"/>
    <numFmt numFmtId="183" formatCode="&quot;Yes&quot;;&quot;Yes&quot;;&quot;No&quot;"/>
    <numFmt numFmtId="184" formatCode="&quot;True&quot;;&quot;True&quot;;&quot;False&quot;"/>
    <numFmt numFmtId="185" formatCode="&quot;On&quot;;&quot;On&quot;;&quot;Off&quot;"/>
    <numFmt numFmtId="186" formatCode="_(* #,##0.0_);_(* \(#,##0.0\);_(* &quot;-&quot;?_);_(@_)"/>
    <numFmt numFmtId="187" formatCode="_(* #,##0.0000_);_(* \(#,##0.0000\);_(* &quot;-&quot;??_);_(@_)"/>
  </numFmts>
  <fonts count="52">
    <font>
      <sz val="11"/>
      <name val="VNI-Times"/>
      <family val="0"/>
    </font>
    <font>
      <sz val="12"/>
      <name val="Vni-times"/>
      <family val="0"/>
    </font>
    <font>
      <sz val="12"/>
      <name val="新細明體"/>
      <family val="1"/>
    </font>
    <font>
      <sz val="10"/>
      <name val="MS Sans Serif"/>
      <family val="0"/>
    </font>
    <font>
      <sz val="10"/>
      <name val="Arial"/>
      <family val="2"/>
    </font>
    <font>
      <u val="single"/>
      <sz val="10"/>
      <color indexed="36"/>
      <name val="Arial"/>
      <family val="0"/>
    </font>
    <font>
      <b/>
      <sz val="18"/>
      <name val="Arial"/>
      <family val="2"/>
    </font>
    <font>
      <b/>
      <sz val="12"/>
      <name val="Arial"/>
      <family val="2"/>
    </font>
    <font>
      <u val="single"/>
      <sz val="10"/>
      <color indexed="12"/>
      <name val="Arial"/>
      <family val="0"/>
    </font>
    <font>
      <sz val="14"/>
      <name val="뼻뮝"/>
      <family val="3"/>
    </font>
    <font>
      <sz val="12"/>
      <name val="뼻뮝"/>
      <family val="1"/>
    </font>
    <font>
      <sz val="12"/>
      <name val="바탕체"/>
      <family val="1"/>
    </font>
    <font>
      <sz val="10"/>
      <name val="굴림체"/>
      <family val="3"/>
    </font>
    <font>
      <b/>
      <sz val="11"/>
      <name val="VNI-Helve-Condense"/>
      <family val="0"/>
    </font>
    <font>
      <sz val="10"/>
      <name val="VNI-Helve-Condense"/>
      <family val="0"/>
    </font>
    <font>
      <b/>
      <sz val="10"/>
      <color indexed="8"/>
      <name val="VNI-Helve-Condense"/>
      <family val="0"/>
    </font>
    <font>
      <b/>
      <sz val="10"/>
      <name val="VNI-Helve-Condense"/>
      <family val="0"/>
    </font>
    <font>
      <sz val="10"/>
      <name val="VNI-Times"/>
      <family val="0"/>
    </font>
    <font>
      <sz val="11"/>
      <name val="VNI-Helve-Condense"/>
      <family val="0"/>
    </font>
    <font>
      <b/>
      <i/>
      <sz val="11"/>
      <name val="VNI-Helve-Condense"/>
      <family val="0"/>
    </font>
    <font>
      <i/>
      <sz val="11"/>
      <name val="VNI-Helve-Condense"/>
      <family val="0"/>
    </font>
    <font>
      <i/>
      <sz val="10"/>
      <name val="VNI-Helve-Condense"/>
      <family val="0"/>
    </font>
    <font>
      <b/>
      <i/>
      <sz val="10"/>
      <name val="VNI-Helve-Condense"/>
      <family val="0"/>
    </font>
    <font>
      <b/>
      <sz val="13"/>
      <name val="VNI-Helve-Condense"/>
      <family val="0"/>
    </font>
    <font>
      <b/>
      <u val="single"/>
      <sz val="10"/>
      <name val="VNI-Helve-Condense"/>
      <family val="0"/>
    </font>
    <font>
      <b/>
      <i/>
      <u val="single"/>
      <sz val="10"/>
      <name val="VNI-Helve-Condense"/>
      <family val="0"/>
    </font>
    <font>
      <sz val="10"/>
      <color indexed="10"/>
      <name val="VNI-Helve-Condense"/>
      <family val="0"/>
    </font>
    <font>
      <b/>
      <sz val="10"/>
      <color indexed="10"/>
      <name val="VNI-Helve-Condense"/>
      <family val="0"/>
    </font>
    <font>
      <i/>
      <sz val="10"/>
      <color indexed="8"/>
      <name val="VNI-Helve-Condense"/>
      <family val="0"/>
    </font>
    <font>
      <i/>
      <sz val="10"/>
      <color indexed="10"/>
      <name val="VNI-Helve-Condense"/>
      <family val="0"/>
    </font>
    <font>
      <sz val="10"/>
      <color indexed="9"/>
      <name val="VNI-Helve-Condense"/>
      <family val="0"/>
    </font>
    <font>
      <i/>
      <sz val="10"/>
      <name val="VNI-Times"/>
      <family val="0"/>
    </font>
    <font>
      <b/>
      <i/>
      <sz val="10"/>
      <name val="VNI-Times"/>
      <family val="0"/>
    </font>
    <font>
      <b/>
      <sz val="10"/>
      <name val="VNI-Times"/>
      <family val="0"/>
    </font>
    <font>
      <sz val="14"/>
      <name val="VNI-Helve-Condense"/>
      <family val="0"/>
    </font>
    <font>
      <sz val="10"/>
      <color indexed="8"/>
      <name val="VNI-Helve-Condense"/>
      <family val="0"/>
    </font>
    <font>
      <sz val="13"/>
      <name val="VNI-Helve-Condense"/>
      <family val="0"/>
    </font>
    <font>
      <u val="single"/>
      <sz val="10"/>
      <name val="VNI-Helve-Condense"/>
      <family val="0"/>
    </font>
    <font>
      <b/>
      <sz val="8"/>
      <name val="Tahoma"/>
      <family val="0"/>
    </font>
    <font>
      <sz val="8"/>
      <name val="Tahoma"/>
      <family val="0"/>
    </font>
    <font>
      <sz val="8"/>
      <name val="VNI-Times"/>
      <family val="0"/>
    </font>
    <font>
      <b/>
      <sz val="14"/>
      <name val="VNI-Helve-Condense"/>
      <family val="0"/>
    </font>
    <font>
      <sz val="14"/>
      <color indexed="10"/>
      <name val="VNI-Helve-Condense"/>
      <family val="0"/>
    </font>
    <font>
      <i/>
      <sz val="10"/>
      <color indexed="9"/>
      <name val="VNI-Helve-Condense"/>
      <family val="0"/>
    </font>
    <font>
      <b/>
      <sz val="10"/>
      <color indexed="9"/>
      <name val="VNI-Helve-Condense"/>
      <family val="0"/>
    </font>
    <font>
      <b/>
      <sz val="18"/>
      <name val="VNI-Times"/>
      <family val="0"/>
    </font>
    <font>
      <b/>
      <sz val="12"/>
      <name val="VNI-Times"/>
      <family val="0"/>
    </font>
    <font>
      <b/>
      <i/>
      <sz val="12"/>
      <name val="VNI-Times"/>
      <family val="0"/>
    </font>
    <font>
      <b/>
      <sz val="14"/>
      <name val="VNI-Times"/>
      <family val="0"/>
    </font>
    <font>
      <b/>
      <sz val="11"/>
      <name val="VNI-Times"/>
      <family val="0"/>
    </font>
    <font>
      <i/>
      <sz val="9"/>
      <name val="VNI-Helve-Condense"/>
      <family val="0"/>
    </font>
    <font>
      <b/>
      <sz val="8"/>
      <name val="VNI-Times"/>
      <family val="2"/>
    </font>
  </fonts>
  <fills count="3">
    <fill>
      <patternFill/>
    </fill>
    <fill>
      <patternFill patternType="gray125"/>
    </fill>
    <fill>
      <patternFill patternType="solid">
        <fgColor indexed="9"/>
        <bgColor indexed="64"/>
      </patternFill>
    </fill>
  </fills>
  <borders count="61">
    <border>
      <left/>
      <right/>
      <top/>
      <bottom/>
      <diagonal/>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thin"/>
      <bottom style="hair"/>
    </border>
    <border>
      <left>
        <color indexed="63"/>
      </left>
      <right>
        <color indexed="63"/>
      </right>
      <top style="hair"/>
      <bottom style="hair"/>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double"/>
    </border>
    <border>
      <left>
        <color indexed="63"/>
      </left>
      <right>
        <color indexed="63"/>
      </right>
      <top style="hair"/>
      <bottom style="thin"/>
    </border>
    <border>
      <left>
        <color indexed="63"/>
      </left>
      <right>
        <color indexed="63"/>
      </right>
      <top style="thin"/>
      <bottom style="double"/>
    </border>
    <border>
      <left>
        <color indexed="63"/>
      </left>
      <right>
        <color indexed="63"/>
      </right>
      <top style="thin"/>
      <bottom style="medium"/>
    </border>
    <border>
      <left style="medium"/>
      <right style="medium"/>
      <top>
        <color indexed="63"/>
      </top>
      <bottom style="medium"/>
    </border>
    <border>
      <left style="medium"/>
      <right style="medium"/>
      <top style="medium"/>
      <bottom style="medium"/>
    </border>
    <border>
      <left style="medium"/>
      <right style="thin"/>
      <top style="medium"/>
      <bottom style="hair"/>
    </border>
    <border>
      <left style="thin"/>
      <right style="thin"/>
      <top style="medium"/>
      <bottom style="hair"/>
    </border>
    <border>
      <left style="thin"/>
      <right style="thin"/>
      <top style="medium"/>
      <bottom>
        <color indexed="63"/>
      </bottom>
    </border>
    <border>
      <left style="medium"/>
      <right style="thin"/>
      <top style="hair"/>
      <bottom style="hair"/>
    </border>
    <border>
      <left style="thin"/>
      <right style="thin"/>
      <top style="hair"/>
      <bottom style="hair"/>
    </border>
    <border>
      <left style="medium"/>
      <right style="thin"/>
      <top>
        <color indexed="63"/>
      </top>
      <bottom style="hair"/>
    </border>
    <border>
      <left style="thin"/>
      <right style="thin"/>
      <top>
        <color indexed="63"/>
      </top>
      <bottom style="hair"/>
    </border>
    <border>
      <left style="medium"/>
      <right style="thin"/>
      <top style="hair"/>
      <bottom>
        <color indexed="63"/>
      </bottom>
    </border>
    <border>
      <left style="thin"/>
      <right style="thin"/>
      <top style="hair"/>
      <bottom>
        <color indexed="63"/>
      </bottom>
    </border>
    <border>
      <left style="medium"/>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double"/>
      <top style="double"/>
      <bottom style="double"/>
    </border>
    <border>
      <left style="double"/>
      <right style="thin"/>
      <top style="double"/>
      <bottom style="thin"/>
    </border>
    <border>
      <left>
        <color indexed="63"/>
      </left>
      <right style="thin"/>
      <top style="double"/>
      <bottom style="thin"/>
    </border>
    <border>
      <left style="thin"/>
      <right style="thin"/>
      <top style="double"/>
      <bottom style="thin"/>
    </border>
    <border>
      <left style="double"/>
      <right style="thin"/>
      <top style="thin"/>
      <bottom style="thin"/>
    </border>
    <border>
      <left>
        <color indexed="63"/>
      </left>
      <right style="thin"/>
      <top style="thin"/>
      <bottom style="double"/>
    </border>
    <border>
      <left style="thin"/>
      <right style="thin"/>
      <top style="thin"/>
      <bottom style="double"/>
    </border>
    <border>
      <left style="medium"/>
      <right style="medium"/>
      <top style="medium"/>
      <bottom>
        <color indexed="63"/>
      </bottom>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1" fillId="0" borderId="0">
      <alignment/>
      <protection/>
    </xf>
    <xf numFmtId="0" fontId="4" fillId="0" borderId="0">
      <alignment/>
      <protection/>
    </xf>
    <xf numFmtId="9" fontId="0" fillId="0" borderId="0" applyFont="0" applyFill="0" applyBorder="0" applyAlignment="0" applyProtection="0"/>
    <xf numFmtId="0" fontId="4" fillId="0" borderId="1" applyNumberFormat="0" applyFont="0" applyFill="0" applyAlignment="0" applyProtection="0"/>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0" fontId="4" fillId="0" borderId="0" applyFont="0" applyFill="0" applyBorder="0" applyAlignment="0" applyProtection="0"/>
    <xf numFmtId="0" fontId="10" fillId="0" borderId="0">
      <alignment/>
      <protection/>
    </xf>
    <xf numFmtId="0" fontId="2" fillId="0" borderId="0">
      <alignment/>
      <protection/>
    </xf>
    <xf numFmtId="172" fontId="4" fillId="0" borderId="0" applyFont="0" applyFill="0" applyBorder="0" applyAlignment="0" applyProtection="0"/>
    <xf numFmtId="173" fontId="4" fillId="0" borderId="0" applyFont="0" applyFill="0" applyBorder="0" applyAlignment="0" applyProtection="0"/>
    <xf numFmtId="170" fontId="11" fillId="0" borderId="0" applyFont="0" applyFill="0" applyBorder="0" applyAlignment="0" applyProtection="0"/>
    <xf numFmtId="169" fontId="11" fillId="0" borderId="0" applyFont="0" applyFill="0" applyBorder="0" applyAlignment="0" applyProtection="0"/>
    <xf numFmtId="0" fontId="12" fillId="0" borderId="0">
      <alignment/>
      <protection/>
    </xf>
    <xf numFmtId="0" fontId="4" fillId="0" borderId="0">
      <alignment/>
      <protection/>
    </xf>
  </cellStyleXfs>
  <cellXfs count="977">
    <xf numFmtId="0" fontId="0" fillId="0" borderId="0" xfId="0" applyAlignment="1">
      <alignment/>
    </xf>
    <xf numFmtId="0" fontId="4" fillId="0" borderId="0" xfId="46">
      <alignment/>
      <protection/>
    </xf>
    <xf numFmtId="0" fontId="0" fillId="0" borderId="0" xfId="0" applyAlignment="1" applyProtection="1">
      <alignment/>
      <protection hidden="1" locked="0"/>
    </xf>
    <xf numFmtId="0" fontId="17" fillId="0" borderId="0" xfId="0" applyFont="1" applyAlignment="1">
      <alignment/>
    </xf>
    <xf numFmtId="0" fontId="14" fillId="0" borderId="0" xfId="0" applyFont="1" applyAlignment="1">
      <alignment/>
    </xf>
    <xf numFmtId="0" fontId="16" fillId="0" borderId="0" xfId="0" applyFont="1" applyAlignment="1">
      <alignment horizontal="left"/>
    </xf>
    <xf numFmtId="0" fontId="14" fillId="0" borderId="0" xfId="0" applyFont="1" applyAlignment="1">
      <alignment horizontal="right"/>
    </xf>
    <xf numFmtId="0" fontId="14" fillId="0" borderId="0" xfId="0" applyFont="1" applyAlignment="1">
      <alignment horizontal="center"/>
    </xf>
    <xf numFmtId="0" fontId="14"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left"/>
    </xf>
    <xf numFmtId="0" fontId="14" fillId="0" borderId="0" xfId="0" applyFont="1" applyAlignment="1">
      <alignment horizontal="justify" wrapText="1"/>
    </xf>
    <xf numFmtId="0" fontId="18" fillId="0" borderId="0" xfId="0" applyFont="1" applyAlignment="1">
      <alignment/>
    </xf>
    <xf numFmtId="0" fontId="0" fillId="0" borderId="0" xfId="0" applyAlignment="1">
      <alignment horizontal="center"/>
    </xf>
    <xf numFmtId="164" fontId="18" fillId="0" borderId="0" xfId="15" applyNumberFormat="1" applyFont="1" applyBorder="1" applyAlignment="1">
      <alignment/>
    </xf>
    <xf numFmtId="164" fontId="13" fillId="0" borderId="0" xfId="15" applyNumberFormat="1" applyFont="1" applyBorder="1" applyAlignment="1">
      <alignment/>
    </xf>
    <xf numFmtId="0" fontId="13" fillId="0" borderId="0" xfId="0" applyFont="1" applyBorder="1" applyAlignment="1">
      <alignment/>
    </xf>
    <xf numFmtId="0" fontId="18" fillId="0" borderId="0" xfId="0" applyNumberFormat="1" applyFont="1" applyAlignment="1">
      <alignment horizontal="center"/>
    </xf>
    <xf numFmtId="0" fontId="13" fillId="0" borderId="0" xfId="0" applyNumberFormat="1" applyFont="1" applyAlignment="1">
      <alignment horizontal="center"/>
    </xf>
    <xf numFmtId="164" fontId="18" fillId="0" borderId="0" xfId="15" applyNumberFormat="1" applyFont="1" applyAlignment="1">
      <alignment/>
    </xf>
    <xf numFmtId="164" fontId="13" fillId="0" borderId="0" xfId="15" applyNumberFormat="1" applyFont="1" applyBorder="1" applyAlignment="1">
      <alignment horizontal="right"/>
    </xf>
    <xf numFmtId="164" fontId="18" fillId="0" borderId="0" xfId="15" applyNumberFormat="1" applyFont="1" applyBorder="1" applyAlignment="1">
      <alignment/>
    </xf>
    <xf numFmtId="164" fontId="20" fillId="0" borderId="0" xfId="15" applyNumberFormat="1" applyFont="1" applyBorder="1" applyAlignment="1">
      <alignment horizontal="centerContinuous" vertical="center"/>
    </xf>
    <xf numFmtId="164" fontId="13" fillId="0" borderId="0" xfId="15" applyNumberFormat="1" applyFont="1" applyFill="1" applyBorder="1" applyAlignment="1" quotePrefix="1">
      <alignment horizontal="right" vertical="center"/>
    </xf>
    <xf numFmtId="164" fontId="19" fillId="0" borderId="0" xfId="15" applyNumberFormat="1" applyFont="1" applyBorder="1" applyAlignment="1">
      <alignment/>
    </xf>
    <xf numFmtId="164" fontId="18" fillId="0" borderId="0" xfId="0" applyNumberFormat="1" applyFont="1" applyAlignment="1">
      <alignment/>
    </xf>
    <xf numFmtId="164" fontId="20" fillId="0" borderId="0" xfId="15" applyNumberFormat="1" applyFont="1" applyBorder="1" applyAlignment="1">
      <alignment/>
    </xf>
    <xf numFmtId="164" fontId="13" fillId="0" borderId="0" xfId="15" applyNumberFormat="1" applyFont="1" applyBorder="1" applyAlignment="1">
      <alignment/>
    </xf>
    <xf numFmtId="164" fontId="19" fillId="0" borderId="0" xfId="15" applyNumberFormat="1" applyFont="1" applyBorder="1" applyAlignment="1">
      <alignment/>
    </xf>
    <xf numFmtId="164" fontId="13" fillId="0" borderId="0" xfId="15" applyNumberFormat="1" applyFont="1" applyBorder="1" applyAlignment="1">
      <alignment vertical="center"/>
    </xf>
    <xf numFmtId="164" fontId="18" fillId="0" borderId="0" xfId="15" applyNumberFormat="1" applyFont="1" applyAlignment="1">
      <alignment vertical="center"/>
    </xf>
    <xf numFmtId="164" fontId="18" fillId="0" borderId="0" xfId="15" applyNumberFormat="1" applyFont="1" applyBorder="1" applyAlignment="1">
      <alignment vertical="center"/>
    </xf>
    <xf numFmtId="164" fontId="18" fillId="0" borderId="0" xfId="15" applyNumberFormat="1" applyFont="1" applyAlignment="1">
      <alignment horizontal="center"/>
    </xf>
    <xf numFmtId="164" fontId="13" fillId="0" borderId="0" xfId="15" applyNumberFormat="1" applyFont="1" applyAlignment="1">
      <alignment horizontal="center" vertical="center"/>
    </xf>
    <xf numFmtId="164" fontId="13" fillId="0" borderId="0" xfId="15" applyNumberFormat="1" applyFont="1" applyBorder="1" applyAlignment="1">
      <alignment horizontal="left" vertical="center" indent="8"/>
    </xf>
    <xf numFmtId="164" fontId="13" fillId="0" borderId="0" xfId="15" applyNumberFormat="1" applyFont="1" applyBorder="1" applyAlignment="1">
      <alignment horizontal="center" vertical="center"/>
    </xf>
    <xf numFmtId="0" fontId="18" fillId="0" borderId="0" xfId="0" applyFont="1" applyBorder="1" applyAlignment="1">
      <alignment/>
    </xf>
    <xf numFmtId="43" fontId="18" fillId="0" borderId="0" xfId="15" applyNumberFormat="1" applyFont="1" applyBorder="1" applyAlignment="1">
      <alignment/>
    </xf>
    <xf numFmtId="164" fontId="20" fillId="0" borderId="0" xfId="15" applyNumberFormat="1" applyFont="1" applyAlignment="1">
      <alignment horizontal="center"/>
    </xf>
    <xf numFmtId="164" fontId="13" fillId="0" borderId="0" xfId="27" applyNumberFormat="1" applyFont="1" applyBorder="1" applyAlignment="1">
      <alignment horizontal="left" vertical="center" indent="6"/>
      <protection/>
    </xf>
    <xf numFmtId="164" fontId="13" fillId="0" borderId="0" xfId="15" applyNumberFormat="1" applyFont="1" applyBorder="1" applyAlignment="1">
      <alignment horizontal="left" vertical="center" indent="5"/>
    </xf>
    <xf numFmtId="37" fontId="18" fillId="0" borderId="0" xfId="0" applyNumberFormat="1" applyFont="1" applyAlignment="1">
      <alignment/>
    </xf>
    <xf numFmtId="0" fontId="18" fillId="0" borderId="0" xfId="0" applyFont="1" applyAlignment="1">
      <alignment vertical="center"/>
    </xf>
    <xf numFmtId="0" fontId="17" fillId="0" borderId="0" xfId="0" applyFont="1" applyAlignment="1">
      <alignment/>
    </xf>
    <xf numFmtId="164" fontId="16" fillId="0" borderId="2" xfId="15" applyNumberFormat="1" applyFont="1" applyBorder="1" applyAlignment="1">
      <alignment horizontal="center"/>
    </xf>
    <xf numFmtId="164" fontId="16" fillId="0" borderId="3" xfId="15" applyNumberFormat="1" applyFont="1" applyBorder="1" applyAlignment="1" quotePrefix="1">
      <alignment horizontal="center"/>
    </xf>
    <xf numFmtId="164" fontId="14" fillId="0" borderId="3" xfId="15" applyNumberFormat="1" applyFont="1" applyBorder="1" applyAlignment="1">
      <alignment horizontal="center"/>
    </xf>
    <xf numFmtId="164" fontId="16" fillId="0" borderId="4" xfId="15" applyNumberFormat="1" applyFont="1" applyBorder="1" applyAlignment="1">
      <alignment horizontal="center"/>
    </xf>
    <xf numFmtId="164" fontId="14" fillId="0" borderId="4" xfId="15" applyNumberFormat="1" applyFont="1" applyBorder="1" applyAlignment="1">
      <alignment horizontal="center"/>
    </xf>
    <xf numFmtId="164" fontId="16" fillId="0" borderId="5" xfId="15" applyNumberFormat="1" applyFont="1" applyBorder="1" applyAlignment="1">
      <alignment horizontal="center"/>
    </xf>
    <xf numFmtId="164" fontId="14" fillId="0" borderId="5" xfId="15" applyNumberFormat="1" applyFont="1" applyBorder="1" applyAlignment="1">
      <alignment horizontal="center"/>
    </xf>
    <xf numFmtId="164" fontId="16" fillId="0" borderId="3" xfId="15" applyNumberFormat="1" applyFont="1" applyBorder="1" applyAlignment="1">
      <alignment horizontal="center"/>
    </xf>
    <xf numFmtId="164" fontId="14" fillId="0" borderId="2" xfId="15" applyNumberFormat="1" applyFont="1" applyBorder="1" applyAlignment="1">
      <alignment horizontal="center"/>
    </xf>
    <xf numFmtId="164" fontId="16" fillId="0" borderId="0" xfId="15" applyNumberFormat="1" applyFont="1" applyAlignment="1">
      <alignment/>
    </xf>
    <xf numFmtId="164" fontId="14" fillId="0" borderId="0" xfId="15" applyNumberFormat="1" applyFont="1" applyBorder="1" applyAlignment="1">
      <alignment horizontal="center"/>
    </xf>
    <xf numFmtId="37" fontId="14" fillId="0" borderId="0" xfId="15" applyNumberFormat="1" applyFont="1" applyBorder="1" applyAlignment="1">
      <alignment/>
    </xf>
    <xf numFmtId="41" fontId="18" fillId="0" borderId="0" xfId="0" applyNumberFormat="1" applyFont="1" applyBorder="1" applyAlignment="1">
      <alignment horizontal="right"/>
    </xf>
    <xf numFmtId="3" fontId="13" fillId="0" borderId="0" xfId="0" applyNumberFormat="1" applyFont="1" applyBorder="1" applyAlignment="1">
      <alignment/>
    </xf>
    <xf numFmtId="0" fontId="16" fillId="0" borderId="0" xfId="0" applyFont="1" applyBorder="1" applyAlignment="1">
      <alignment/>
    </xf>
    <xf numFmtId="0" fontId="14" fillId="0" borderId="0" xfId="0" applyNumberFormat="1" applyFont="1" applyAlignment="1">
      <alignment horizontal="center"/>
    </xf>
    <xf numFmtId="0" fontId="16" fillId="0" borderId="0" xfId="0" applyNumberFormat="1" applyFont="1" applyAlignment="1">
      <alignment horizontal="center"/>
    </xf>
    <xf numFmtId="164" fontId="14" fillId="0" borderId="0" xfId="15" applyNumberFormat="1" applyFont="1" applyAlignment="1">
      <alignment/>
    </xf>
    <xf numFmtId="164" fontId="16" fillId="0" borderId="0" xfId="15" applyNumberFormat="1" applyFont="1" applyBorder="1" applyAlignment="1">
      <alignment horizontal="right"/>
    </xf>
    <xf numFmtId="37" fontId="16" fillId="0" borderId="0" xfId="0" applyNumberFormat="1" applyFont="1" applyBorder="1" applyAlignment="1">
      <alignment/>
    </xf>
    <xf numFmtId="164" fontId="14" fillId="0" borderId="0" xfId="15" applyNumberFormat="1" applyFont="1" applyBorder="1" applyAlignment="1">
      <alignment/>
    </xf>
    <xf numFmtId="164" fontId="16" fillId="0" borderId="0" xfId="15" applyNumberFormat="1" applyFont="1" applyBorder="1" applyAlignment="1">
      <alignment/>
    </xf>
    <xf numFmtId="37" fontId="14" fillId="0" borderId="6" xfId="0" applyNumberFormat="1" applyFont="1" applyBorder="1" applyAlignment="1">
      <alignment/>
    </xf>
    <xf numFmtId="0" fontId="14" fillId="0" borderId="6" xfId="0" applyNumberFormat="1" applyFont="1" applyBorder="1" applyAlignment="1">
      <alignment horizontal="center"/>
    </xf>
    <xf numFmtId="0" fontId="16" fillId="0" borderId="6" xfId="0" applyNumberFormat="1" applyFont="1" applyBorder="1" applyAlignment="1">
      <alignment horizontal="center"/>
    </xf>
    <xf numFmtId="164" fontId="14" fillId="0" borderId="6" xfId="15" applyNumberFormat="1" applyFont="1" applyBorder="1" applyAlignment="1">
      <alignment/>
    </xf>
    <xf numFmtId="164" fontId="14" fillId="0" borderId="7" xfId="27" applyNumberFormat="1" applyFont="1" applyBorder="1" applyAlignment="1">
      <alignment vertical="center"/>
      <protection/>
    </xf>
    <xf numFmtId="0" fontId="14" fillId="0" borderId="7" xfId="27" applyNumberFormat="1" applyFont="1" applyBorder="1" applyAlignment="1">
      <alignment horizontal="center" vertical="center"/>
      <protection/>
    </xf>
    <xf numFmtId="0" fontId="16" fillId="0" borderId="7" xfId="27" applyNumberFormat="1" applyFont="1" applyBorder="1" applyAlignment="1">
      <alignment horizontal="center" vertical="center"/>
      <protection/>
    </xf>
    <xf numFmtId="164" fontId="21" fillId="0" borderId="7" xfId="15" applyNumberFormat="1" applyFont="1" applyBorder="1" applyAlignment="1">
      <alignment horizontal="centerContinuous" vertical="center"/>
    </xf>
    <xf numFmtId="164" fontId="16" fillId="0" borderId="8" xfId="27" applyNumberFormat="1" applyFont="1" applyFill="1" applyBorder="1" applyAlignment="1">
      <alignment horizontal="center" vertical="center"/>
      <protection/>
    </xf>
    <xf numFmtId="0" fontId="16" fillId="0" borderId="8" xfId="27" applyNumberFormat="1" applyFont="1" applyFill="1" applyBorder="1" applyAlignment="1">
      <alignment horizontal="center" vertical="center"/>
      <protection/>
    </xf>
    <xf numFmtId="0" fontId="16" fillId="0" borderId="8" xfId="27" applyNumberFormat="1" applyFont="1" applyFill="1" applyBorder="1" applyAlignment="1">
      <alignment horizontal="center" vertical="center" wrapText="1"/>
      <protection/>
    </xf>
    <xf numFmtId="164" fontId="16" fillId="0" borderId="8" xfId="15" applyNumberFormat="1" applyFont="1" applyFill="1" applyBorder="1" applyAlignment="1">
      <alignment horizontal="center" vertical="center"/>
    </xf>
    <xf numFmtId="164" fontId="16" fillId="0" borderId="0" xfId="27" applyNumberFormat="1" applyFont="1" applyBorder="1" applyAlignment="1">
      <alignment horizontal="left"/>
      <protection/>
    </xf>
    <xf numFmtId="0" fontId="16" fillId="0" borderId="0" xfId="27" applyNumberFormat="1" applyFont="1" applyBorder="1" applyAlignment="1">
      <alignment horizontal="center"/>
      <protection/>
    </xf>
    <xf numFmtId="164" fontId="16" fillId="0" borderId="0" xfId="15" applyNumberFormat="1" applyFont="1" applyBorder="1" applyAlignment="1">
      <alignment horizontal="center"/>
    </xf>
    <xf numFmtId="164" fontId="16" fillId="0" borderId="9" xfId="27" applyNumberFormat="1" applyFont="1" applyBorder="1" applyAlignment="1">
      <alignment horizontal="left" indent="1"/>
      <protection/>
    </xf>
    <xf numFmtId="164" fontId="16" fillId="0" borderId="0" xfId="27" applyNumberFormat="1" applyFont="1" applyBorder="1" applyAlignment="1">
      <alignment horizontal="left" indent="1"/>
      <protection/>
    </xf>
    <xf numFmtId="0" fontId="16" fillId="0" borderId="9" xfId="27" applyNumberFormat="1" applyFont="1" applyBorder="1" applyAlignment="1">
      <alignment horizontal="center"/>
      <protection/>
    </xf>
    <xf numFmtId="164" fontId="16" fillId="0" borderId="9" xfId="15" applyNumberFormat="1" applyFont="1" applyBorder="1" applyAlignment="1">
      <alignment horizontal="center"/>
    </xf>
    <xf numFmtId="0" fontId="16" fillId="0" borderId="0" xfId="27" applyNumberFormat="1" applyFont="1" applyBorder="1" applyAlignment="1" quotePrefix="1">
      <alignment horizontal="center"/>
      <protection/>
    </xf>
    <xf numFmtId="164" fontId="16" fillId="0" borderId="9" xfId="15" applyNumberFormat="1" applyFont="1" applyBorder="1" applyAlignment="1">
      <alignment/>
    </xf>
    <xf numFmtId="164" fontId="14" fillId="0" borderId="0" xfId="27" applyNumberFormat="1" applyFont="1" applyBorder="1" applyAlignment="1">
      <alignment horizontal="left" indent="2"/>
      <protection/>
    </xf>
    <xf numFmtId="0" fontId="14" fillId="0" borderId="0" xfId="27" applyNumberFormat="1" applyFont="1" applyBorder="1" applyAlignment="1">
      <alignment horizontal="center"/>
      <protection/>
    </xf>
    <xf numFmtId="164" fontId="14" fillId="0" borderId="0" xfId="15" applyNumberFormat="1" applyFont="1" applyBorder="1" applyAlignment="1" quotePrefix="1">
      <alignment horizontal="center"/>
    </xf>
    <xf numFmtId="0" fontId="14" fillId="0" borderId="0" xfId="27" applyNumberFormat="1" applyFont="1" applyBorder="1" applyAlignment="1" quotePrefix="1">
      <alignment horizontal="center"/>
      <protection/>
    </xf>
    <xf numFmtId="164" fontId="14" fillId="0" borderId="0" xfId="15" applyNumberFormat="1" applyFont="1" applyBorder="1" applyAlignment="1">
      <alignment/>
    </xf>
    <xf numFmtId="164" fontId="16" fillId="0" borderId="10" xfId="27" applyNumberFormat="1" applyFont="1" applyBorder="1" applyAlignment="1">
      <alignment horizontal="left" indent="1"/>
      <protection/>
    </xf>
    <xf numFmtId="0" fontId="16" fillId="0" borderId="10" xfId="27" applyNumberFormat="1" applyFont="1" applyBorder="1" applyAlignment="1">
      <alignment horizontal="center"/>
      <protection/>
    </xf>
    <xf numFmtId="164" fontId="21" fillId="0" borderId="10" xfId="15" applyNumberFormat="1" applyFont="1" applyBorder="1" applyAlignment="1">
      <alignment horizontal="center"/>
    </xf>
    <xf numFmtId="164" fontId="22" fillId="0" borderId="10" xfId="15" applyNumberFormat="1" applyFont="1" applyBorder="1" applyAlignment="1">
      <alignment/>
    </xf>
    <xf numFmtId="164" fontId="22" fillId="0" borderId="0" xfId="15" applyNumberFormat="1" applyFont="1" applyBorder="1" applyAlignment="1">
      <alignment/>
    </xf>
    <xf numFmtId="164" fontId="14" fillId="0" borderId="9" xfId="15" applyNumberFormat="1" applyFont="1" applyBorder="1" applyAlignment="1">
      <alignment horizontal="center"/>
    </xf>
    <xf numFmtId="164" fontId="14" fillId="0" borderId="10" xfId="15" applyNumberFormat="1" applyFont="1" applyBorder="1" applyAlignment="1">
      <alignment horizontal="center"/>
    </xf>
    <xf numFmtId="164" fontId="16" fillId="0" borderId="10" xfId="15" applyNumberFormat="1" applyFont="1" applyBorder="1" applyAlignment="1">
      <alignment/>
    </xf>
    <xf numFmtId="164" fontId="21" fillId="0" borderId="0" xfId="15" applyNumberFormat="1" applyFont="1" applyBorder="1" applyAlignment="1">
      <alignment horizontal="center"/>
    </xf>
    <xf numFmtId="0" fontId="14" fillId="0" borderId="0" xfId="0" applyNumberFormat="1" applyFont="1" applyAlignment="1" quotePrefix="1">
      <alignment horizontal="center"/>
    </xf>
    <xf numFmtId="164" fontId="16" fillId="0" borderId="11" xfId="27" applyNumberFormat="1" applyFont="1" applyBorder="1" applyAlignment="1">
      <alignment horizontal="left"/>
      <protection/>
    </xf>
    <xf numFmtId="0" fontId="16" fillId="0" borderId="11" xfId="27" applyNumberFormat="1" applyFont="1" applyBorder="1" applyAlignment="1">
      <alignment horizontal="center"/>
      <protection/>
    </xf>
    <xf numFmtId="164" fontId="14" fillId="0" borderId="11" xfId="15" applyNumberFormat="1" applyFont="1" applyBorder="1" applyAlignment="1">
      <alignment horizontal="center"/>
    </xf>
    <xf numFmtId="164" fontId="16" fillId="0" borderId="11" xfId="15" applyNumberFormat="1" applyFont="1" applyBorder="1" applyAlignment="1">
      <alignment/>
    </xf>
    <xf numFmtId="164" fontId="16" fillId="0" borderId="12" xfId="27" applyNumberFormat="1" applyFont="1" applyBorder="1" applyAlignment="1">
      <alignment horizontal="left" indent="1"/>
      <protection/>
    </xf>
    <xf numFmtId="0" fontId="16" fillId="0" borderId="12" xfId="27" applyNumberFormat="1" applyFont="1" applyBorder="1" applyAlignment="1">
      <alignment horizontal="center"/>
      <protection/>
    </xf>
    <xf numFmtId="164" fontId="16" fillId="0" borderId="12" xfId="15" applyNumberFormat="1" applyFont="1" applyBorder="1" applyAlignment="1">
      <alignment/>
    </xf>
    <xf numFmtId="164" fontId="14" fillId="0" borderId="12" xfId="27" applyNumberFormat="1" applyFont="1" applyBorder="1" applyAlignment="1">
      <alignment horizontal="left" indent="1"/>
      <protection/>
    </xf>
    <xf numFmtId="0" fontId="14" fillId="0" borderId="12" xfId="27" applyNumberFormat="1" applyFont="1" applyBorder="1" applyAlignment="1">
      <alignment horizontal="center"/>
      <protection/>
    </xf>
    <xf numFmtId="164" fontId="14" fillId="0" borderId="12" xfId="15" applyNumberFormat="1" applyFont="1" applyBorder="1" applyAlignment="1" quotePrefix="1">
      <alignment horizontal="center"/>
    </xf>
    <xf numFmtId="164" fontId="14" fillId="0" borderId="0" xfId="15" applyNumberFormat="1" applyFont="1" applyBorder="1" applyAlignment="1">
      <alignment horizontal="right"/>
    </xf>
    <xf numFmtId="164" fontId="14" fillId="0" borderId="12" xfId="15" applyNumberFormat="1" applyFont="1" applyBorder="1" applyAlignment="1">
      <alignment/>
    </xf>
    <xf numFmtId="164" fontId="14" fillId="0" borderId="0" xfId="27" applyNumberFormat="1" applyFont="1" applyBorder="1" applyAlignment="1" quotePrefix="1">
      <alignment horizontal="left" indent="3"/>
      <protection/>
    </xf>
    <xf numFmtId="164" fontId="14" fillId="0" borderId="12" xfId="27" applyNumberFormat="1" applyFont="1" applyBorder="1" applyAlignment="1" quotePrefix="1">
      <alignment horizontal="left" indent="3"/>
      <protection/>
    </xf>
    <xf numFmtId="164" fontId="14" fillId="0" borderId="12" xfId="15" applyNumberFormat="1" applyFont="1" applyBorder="1" applyAlignment="1">
      <alignment horizontal="center"/>
    </xf>
    <xf numFmtId="164" fontId="14" fillId="0" borderId="12" xfId="15" applyNumberFormat="1" applyFont="1" applyBorder="1" applyAlignment="1">
      <alignment horizontal="right"/>
    </xf>
    <xf numFmtId="164" fontId="14" fillId="0" borderId="0" xfId="27" applyNumberFormat="1" applyFont="1" applyBorder="1" applyAlignment="1">
      <alignment horizontal="left" indent="1"/>
      <protection/>
    </xf>
    <xf numFmtId="164" fontId="21" fillId="0" borderId="0" xfId="15" applyNumberFormat="1" applyFont="1" applyBorder="1" applyAlignment="1">
      <alignment horizontal="right"/>
    </xf>
    <xf numFmtId="164" fontId="21" fillId="0" borderId="0" xfId="15" applyNumberFormat="1" applyFont="1" applyBorder="1" applyAlignment="1">
      <alignment/>
    </xf>
    <xf numFmtId="164" fontId="14" fillId="0" borderId="10" xfId="15" applyNumberFormat="1" applyFont="1" applyBorder="1" applyAlignment="1">
      <alignment/>
    </xf>
    <xf numFmtId="164" fontId="14" fillId="0" borderId="10" xfId="15" applyNumberFormat="1" applyFont="1" applyBorder="1" applyAlignment="1" quotePrefix="1">
      <alignment horizontal="center"/>
    </xf>
    <xf numFmtId="164" fontId="16" fillId="0" borderId="10" xfId="15" applyNumberFormat="1" applyFont="1" applyBorder="1" applyAlignment="1">
      <alignment/>
    </xf>
    <xf numFmtId="164" fontId="16" fillId="0" borderId="0" xfId="15" applyNumberFormat="1" applyFont="1" applyBorder="1" applyAlignment="1">
      <alignment/>
    </xf>
    <xf numFmtId="164" fontId="22" fillId="0" borderId="0" xfId="15" applyNumberFormat="1" applyFont="1" applyBorder="1" applyAlignment="1">
      <alignment horizontal="right"/>
    </xf>
    <xf numFmtId="164" fontId="22" fillId="0" borderId="0" xfId="15" applyNumberFormat="1" applyFont="1" applyBorder="1" applyAlignment="1">
      <alignment/>
    </xf>
    <xf numFmtId="164" fontId="16" fillId="0" borderId="13" xfId="27" applyNumberFormat="1" applyFont="1" applyBorder="1" applyAlignment="1">
      <alignment horizontal="left" indent="1"/>
      <protection/>
    </xf>
    <xf numFmtId="0" fontId="16" fillId="0" borderId="13" xfId="27" applyNumberFormat="1" applyFont="1" applyBorder="1" applyAlignment="1">
      <alignment horizontal="center"/>
      <protection/>
    </xf>
    <xf numFmtId="164" fontId="14" fillId="0" borderId="13" xfId="15" applyNumberFormat="1" applyFont="1" applyBorder="1" applyAlignment="1">
      <alignment horizontal="center"/>
    </xf>
    <xf numFmtId="164" fontId="16" fillId="0" borderId="13" xfId="15" applyNumberFormat="1" applyFont="1" applyBorder="1" applyAlignment="1">
      <alignment/>
    </xf>
    <xf numFmtId="164" fontId="14" fillId="0" borderId="10" xfId="27" applyNumberFormat="1" applyFont="1" applyBorder="1" applyAlignment="1">
      <alignment horizontal="left" indent="1"/>
      <protection/>
    </xf>
    <xf numFmtId="164" fontId="14" fillId="0" borderId="10" xfId="27" applyNumberFormat="1" applyFont="1" applyBorder="1" applyAlignment="1">
      <alignment/>
      <protection/>
    </xf>
    <xf numFmtId="164" fontId="16" fillId="0" borderId="6" xfId="27" applyNumberFormat="1" applyFont="1" applyBorder="1" applyAlignment="1">
      <alignment horizontal="left"/>
      <protection/>
    </xf>
    <xf numFmtId="0" fontId="16" fillId="0" borderId="6" xfId="27" applyNumberFormat="1" applyFont="1" applyBorder="1" applyAlignment="1">
      <alignment horizontal="center"/>
      <protection/>
    </xf>
    <xf numFmtId="164" fontId="14" fillId="0" borderId="6" xfId="15" applyNumberFormat="1" applyFont="1" applyBorder="1" applyAlignment="1">
      <alignment horizontal="center"/>
    </xf>
    <xf numFmtId="164" fontId="16" fillId="0" borderId="6" xfId="15" applyNumberFormat="1" applyFont="1" applyBorder="1" applyAlignment="1">
      <alignment horizontal="right"/>
    </xf>
    <xf numFmtId="164" fontId="16" fillId="0" borderId="6" xfId="15" applyNumberFormat="1" applyFont="1" applyBorder="1" applyAlignment="1">
      <alignment/>
    </xf>
    <xf numFmtId="164" fontId="16" fillId="0" borderId="14" xfId="27" applyNumberFormat="1" applyFont="1" applyBorder="1" applyAlignment="1">
      <alignment horizontal="center" vertical="center"/>
      <protection/>
    </xf>
    <xf numFmtId="0" fontId="16" fillId="0" borderId="14" xfId="27" applyNumberFormat="1" applyFont="1" applyBorder="1" applyAlignment="1">
      <alignment horizontal="center" vertical="center"/>
      <protection/>
    </xf>
    <xf numFmtId="164" fontId="14" fillId="0" borderId="14" xfId="15" applyNumberFormat="1" applyFont="1" applyBorder="1" applyAlignment="1">
      <alignment horizontal="center" vertical="center"/>
    </xf>
    <xf numFmtId="164" fontId="16" fillId="0" borderId="14" xfId="15" applyNumberFormat="1" applyFont="1" applyBorder="1" applyAlignment="1">
      <alignment horizontal="right" vertical="center"/>
    </xf>
    <xf numFmtId="164" fontId="16" fillId="0" borderId="14" xfId="15" applyNumberFormat="1" applyFont="1" applyBorder="1" applyAlignment="1">
      <alignment vertical="center"/>
    </xf>
    <xf numFmtId="164" fontId="16" fillId="0" borderId="0" xfId="27" applyNumberFormat="1" applyFont="1" applyBorder="1" applyAlignment="1">
      <alignment horizontal="center" vertical="center"/>
      <protection/>
    </xf>
    <xf numFmtId="0" fontId="16" fillId="0" borderId="0" xfId="27" applyNumberFormat="1" applyFont="1" applyBorder="1" applyAlignment="1">
      <alignment horizontal="center" vertical="center"/>
      <protection/>
    </xf>
    <xf numFmtId="164" fontId="16" fillId="0" borderId="0" xfId="15" applyNumberFormat="1" applyFont="1" applyBorder="1" applyAlignment="1">
      <alignment vertical="center"/>
    </xf>
    <xf numFmtId="164" fontId="16" fillId="0" borderId="11" xfId="27" applyNumberFormat="1" applyFont="1" applyFill="1" applyBorder="1" applyAlignment="1">
      <alignment horizontal="center" vertical="center"/>
      <protection/>
    </xf>
    <xf numFmtId="0" fontId="16" fillId="0" borderId="11" xfId="27" applyNumberFormat="1" applyFont="1" applyFill="1" applyBorder="1" applyAlignment="1">
      <alignment horizontal="center" vertical="center"/>
      <protection/>
    </xf>
    <xf numFmtId="0" fontId="16" fillId="0" borderId="11" xfId="27" applyNumberFormat="1" applyFont="1" applyFill="1" applyBorder="1" applyAlignment="1">
      <alignment horizontal="center" vertical="center" wrapText="1"/>
      <protection/>
    </xf>
    <xf numFmtId="164" fontId="16" fillId="0" borderId="11" xfId="15" applyNumberFormat="1" applyFont="1" applyFill="1" applyBorder="1" applyAlignment="1" quotePrefix="1">
      <alignment horizontal="right" vertical="center"/>
    </xf>
    <xf numFmtId="164" fontId="16" fillId="0" borderId="6" xfId="15" applyNumberFormat="1" applyFont="1" applyBorder="1" applyAlignment="1">
      <alignment horizontal="center"/>
    </xf>
    <xf numFmtId="164" fontId="16" fillId="0" borderId="12" xfId="15" applyNumberFormat="1" applyFont="1" applyBorder="1" applyAlignment="1">
      <alignment horizontal="center"/>
    </xf>
    <xf numFmtId="164" fontId="14" fillId="0" borderId="0" xfId="15" applyNumberFormat="1" applyFont="1" applyFill="1" applyBorder="1" applyAlignment="1">
      <alignment/>
    </xf>
    <xf numFmtId="164" fontId="16" fillId="0" borderId="9" xfId="27" applyNumberFormat="1" applyFont="1" applyBorder="1" applyAlignment="1">
      <alignment horizontal="left"/>
      <protection/>
    </xf>
    <xf numFmtId="164" fontId="14" fillId="0" borderId="0" xfId="27" applyNumberFormat="1" applyFont="1" applyBorder="1" applyAlignment="1">
      <alignment horizontal="left"/>
      <protection/>
    </xf>
    <xf numFmtId="0" fontId="14" fillId="0" borderId="6" xfId="0" applyFont="1" applyBorder="1" applyAlignment="1">
      <alignment/>
    </xf>
    <xf numFmtId="164" fontId="14" fillId="0" borderId="0" xfId="27" applyNumberFormat="1" applyFont="1" applyBorder="1" applyAlignment="1">
      <alignment vertical="center"/>
      <protection/>
    </xf>
    <xf numFmtId="0" fontId="14" fillId="0" borderId="0" xfId="27" applyNumberFormat="1" applyFont="1" applyAlignment="1">
      <alignment horizontal="center" vertical="center"/>
      <protection/>
    </xf>
    <xf numFmtId="164" fontId="14" fillId="0" borderId="0" xfId="15" applyNumberFormat="1" applyFont="1" applyAlignment="1">
      <alignment vertical="center"/>
    </xf>
    <xf numFmtId="164" fontId="14" fillId="0" borderId="0" xfId="15" applyNumberFormat="1" applyFont="1" applyBorder="1" applyAlignment="1">
      <alignment vertical="center"/>
    </xf>
    <xf numFmtId="164" fontId="14" fillId="0" borderId="0" xfId="15" applyNumberFormat="1" applyFont="1" applyAlignment="1">
      <alignment horizontal="center"/>
    </xf>
    <xf numFmtId="164" fontId="16" fillId="0" borderId="0" xfId="27" applyNumberFormat="1" applyFont="1" applyBorder="1" applyAlignment="1">
      <alignment horizontal="left" vertical="center" indent="2"/>
      <protection/>
    </xf>
    <xf numFmtId="0" fontId="14" fillId="0" borderId="0" xfId="27" applyNumberFormat="1" applyFont="1" applyAlignment="1">
      <alignment horizontal="center"/>
      <protection/>
    </xf>
    <xf numFmtId="164" fontId="16" fillId="0" borderId="0" xfId="15" applyNumberFormat="1" applyFont="1" applyAlignment="1">
      <alignment horizontal="left" vertical="center" indent="8"/>
    </xf>
    <xf numFmtId="164" fontId="16" fillId="0" borderId="0" xfId="15" applyNumberFormat="1" applyFont="1" applyBorder="1" applyAlignment="1">
      <alignment horizontal="left" vertical="center" indent="8"/>
    </xf>
    <xf numFmtId="0" fontId="16" fillId="0" borderId="0" xfId="0" applyFont="1" applyBorder="1" applyAlignment="1">
      <alignment/>
    </xf>
    <xf numFmtId="0" fontId="16" fillId="0" borderId="0" xfId="0" applyNumberFormat="1" applyFont="1" applyBorder="1" applyAlignment="1">
      <alignment horizontal="center"/>
    </xf>
    <xf numFmtId="0" fontId="16" fillId="0" borderId="15" xfId="0" applyFont="1" applyBorder="1" applyAlignment="1">
      <alignment horizontal="center" vertical="center"/>
    </xf>
    <xf numFmtId="0" fontId="16" fillId="0" borderId="11" xfId="0" applyFont="1" applyBorder="1" applyAlignment="1">
      <alignment horizontal="center" vertical="center"/>
    </xf>
    <xf numFmtId="0" fontId="14" fillId="0" borderId="11" xfId="0" applyNumberFormat="1" applyFont="1" applyBorder="1" applyAlignment="1">
      <alignment horizontal="center" vertical="center"/>
    </xf>
    <xf numFmtId="0" fontId="16" fillId="0" borderId="15" xfId="27" applyNumberFormat="1" applyFont="1" applyFill="1" applyBorder="1" applyAlignment="1">
      <alignment horizontal="center" vertical="center" wrapText="1"/>
      <protection/>
    </xf>
    <xf numFmtId="0" fontId="16" fillId="0" borderId="16" xfId="27" applyNumberFormat="1" applyFont="1" applyFill="1" applyBorder="1" applyAlignment="1">
      <alignment horizontal="center" vertical="center" wrapText="1"/>
      <protection/>
    </xf>
    <xf numFmtId="164" fontId="16" fillId="0" borderId="15" xfId="15" applyNumberFormat="1" applyFont="1" applyFill="1" applyBorder="1" applyAlignment="1" quotePrefix="1">
      <alignment horizontal="right" vertical="center"/>
    </xf>
    <xf numFmtId="0" fontId="16" fillId="0" borderId="17" xfId="0" applyFont="1" applyBorder="1" applyAlignment="1">
      <alignment horizontal="center" vertical="center"/>
    </xf>
    <xf numFmtId="0" fontId="14" fillId="0" borderId="0" xfId="0" applyNumberFormat="1" applyFont="1" applyBorder="1" applyAlignment="1">
      <alignment horizontal="center"/>
    </xf>
    <xf numFmtId="0" fontId="16" fillId="0" borderId="17" xfId="0" applyNumberFormat="1" applyFont="1" applyFill="1" applyBorder="1" applyAlignment="1">
      <alignment horizontal="center"/>
    </xf>
    <xf numFmtId="0" fontId="16" fillId="0" borderId="18" xfId="0" applyNumberFormat="1" applyFont="1" applyFill="1" applyBorder="1" applyAlignment="1">
      <alignment horizontal="center"/>
    </xf>
    <xf numFmtId="164" fontId="14" fillId="0" borderId="18" xfId="15" applyNumberFormat="1" applyFont="1" applyBorder="1" applyAlignment="1">
      <alignment/>
    </xf>
    <xf numFmtId="164" fontId="14" fillId="0" borderId="17" xfId="15" applyNumberFormat="1" applyFont="1" applyBorder="1" applyAlignment="1">
      <alignment/>
    </xf>
    <xf numFmtId="0" fontId="14" fillId="0" borderId="17" xfId="0" applyFont="1" applyBorder="1" applyAlignment="1">
      <alignment horizontal="left" indent="2"/>
    </xf>
    <xf numFmtId="0" fontId="14" fillId="0" borderId="0" xfId="0" applyFont="1" applyBorder="1" applyAlignment="1">
      <alignment horizontal="left" indent="2"/>
    </xf>
    <xf numFmtId="43" fontId="14" fillId="0" borderId="18" xfId="15" applyNumberFormat="1" applyFont="1" applyBorder="1" applyAlignment="1">
      <alignment/>
    </xf>
    <xf numFmtId="43" fontId="14" fillId="0" borderId="17" xfId="15" applyNumberFormat="1" applyFont="1" applyBorder="1" applyAlignment="1">
      <alignment/>
    </xf>
    <xf numFmtId="0" fontId="16" fillId="0" borderId="0" xfId="0" applyNumberFormat="1" applyFont="1" applyFill="1" applyBorder="1" applyAlignment="1">
      <alignment horizontal="center"/>
    </xf>
    <xf numFmtId="164" fontId="14" fillId="0" borderId="5" xfId="15" applyNumberFormat="1" applyFont="1" applyBorder="1" applyAlignment="1">
      <alignment/>
    </xf>
    <xf numFmtId="0" fontId="14" fillId="0" borderId="19" xfId="0" applyFont="1" applyBorder="1" applyAlignment="1">
      <alignment/>
    </xf>
    <xf numFmtId="0" fontId="16" fillId="0" borderId="19" xfId="0" applyNumberFormat="1" applyFont="1" applyBorder="1" applyAlignment="1">
      <alignment horizontal="center"/>
    </xf>
    <xf numFmtId="164" fontId="14" fillId="0" borderId="4" xfId="15" applyNumberFormat="1" applyFont="1" applyBorder="1" applyAlignment="1">
      <alignment/>
    </xf>
    <xf numFmtId="164" fontId="14" fillId="0" borderId="20" xfId="15" applyNumberFormat="1" applyFont="1" applyBorder="1" applyAlignment="1">
      <alignment/>
    </xf>
    <xf numFmtId="0" fontId="22" fillId="0" borderId="0" xfId="0" applyFont="1" applyFill="1" applyBorder="1" applyAlignment="1">
      <alignment horizontal="left"/>
    </xf>
    <xf numFmtId="0" fontId="21" fillId="0" borderId="0" xfId="0" applyFont="1" applyBorder="1" applyAlignment="1">
      <alignment/>
    </xf>
    <xf numFmtId="0" fontId="21" fillId="0" borderId="0" xfId="0" applyFont="1" applyFill="1" applyBorder="1" applyAlignment="1">
      <alignment horizontal="left"/>
    </xf>
    <xf numFmtId="164" fontId="16" fillId="0" borderId="0" xfId="27" applyNumberFormat="1" applyFont="1" applyBorder="1" applyAlignment="1">
      <alignment horizontal="left" vertical="center" indent="6"/>
      <protection/>
    </xf>
    <xf numFmtId="164" fontId="16" fillId="0" borderId="0" xfId="15" applyNumberFormat="1" applyFont="1" applyAlignment="1">
      <alignment horizontal="left" vertical="center" indent="5"/>
    </xf>
    <xf numFmtId="164" fontId="16" fillId="0" borderId="0" xfId="15" applyNumberFormat="1" applyFont="1" applyBorder="1" applyAlignment="1">
      <alignment horizontal="left" vertical="center" indent="5"/>
    </xf>
    <xf numFmtId="37" fontId="23" fillId="0" borderId="0" xfId="0" applyNumberFormat="1" applyFont="1" applyBorder="1" applyAlignment="1">
      <alignment/>
    </xf>
    <xf numFmtId="37" fontId="16" fillId="0" borderId="6" xfId="0" applyNumberFormat="1" applyFont="1" applyBorder="1" applyAlignment="1">
      <alignment horizontal="left"/>
    </xf>
    <xf numFmtId="0" fontId="16" fillId="0" borderId="6" xfId="0" applyFont="1" applyBorder="1" applyAlignment="1">
      <alignment horizontal="center"/>
    </xf>
    <xf numFmtId="0" fontId="14" fillId="0" borderId="0" xfId="0" applyFont="1" applyAlignment="1">
      <alignment horizontal="justify"/>
    </xf>
    <xf numFmtId="0" fontId="14" fillId="0" borderId="0" xfId="0" applyFont="1" applyAlignment="1">
      <alignment/>
    </xf>
    <xf numFmtId="3" fontId="14" fillId="0" borderId="0" xfId="0" applyNumberFormat="1" applyFont="1" applyAlignment="1">
      <alignment horizontal="justify" wrapText="1"/>
    </xf>
    <xf numFmtId="0" fontId="14" fillId="0" borderId="0" xfId="0" applyFont="1" applyAlignment="1">
      <alignment horizontal="left"/>
    </xf>
    <xf numFmtId="37" fontId="16" fillId="0" borderId="0" xfId="0" applyNumberFormat="1" applyFont="1" applyAlignment="1">
      <alignment horizontal="left"/>
    </xf>
    <xf numFmtId="0" fontId="14" fillId="0" borderId="0" xfId="0" applyFont="1" applyAlignment="1">
      <alignment horizontal="left" vertical="center"/>
    </xf>
    <xf numFmtId="0" fontId="14" fillId="0" borderId="0" xfId="0" applyFont="1" applyAlignment="1">
      <alignment horizontal="justify" vertical="center"/>
    </xf>
    <xf numFmtId="0" fontId="16" fillId="0" borderId="0" xfId="0" applyFont="1" applyAlignment="1">
      <alignment horizontal="center"/>
    </xf>
    <xf numFmtId="0" fontId="16" fillId="0" borderId="0" xfId="0" applyFont="1" applyAlignment="1">
      <alignment/>
    </xf>
    <xf numFmtId="0" fontId="14" fillId="0" borderId="14" xfId="0" applyFont="1" applyBorder="1" applyAlignment="1">
      <alignment horizontal="left" indent="2"/>
    </xf>
    <xf numFmtId="0" fontId="14" fillId="0" borderId="14" xfId="0" applyNumberFormat="1" applyFont="1" applyBorder="1" applyAlignment="1">
      <alignment horizontal="center"/>
    </xf>
    <xf numFmtId="0" fontId="16" fillId="0" borderId="14" xfId="0" applyNumberFormat="1" applyFont="1" applyFill="1" applyBorder="1" applyAlignment="1">
      <alignment horizontal="center"/>
    </xf>
    <xf numFmtId="164" fontId="14" fillId="0" borderId="14" xfId="15" applyNumberFormat="1" applyFont="1" applyBorder="1" applyAlignment="1">
      <alignment/>
    </xf>
    <xf numFmtId="0" fontId="16" fillId="0" borderId="0" xfId="0" applyFont="1" applyBorder="1" applyAlignment="1">
      <alignment vertical="center"/>
    </xf>
    <xf numFmtId="0" fontId="14" fillId="0" borderId="0" xfId="0" applyNumberFormat="1" applyFont="1" applyAlignment="1">
      <alignment horizontal="center" vertical="center"/>
    </xf>
    <xf numFmtId="0" fontId="16" fillId="0" borderId="0" xfId="0" applyNumberFormat="1" applyFont="1" applyBorder="1" applyAlignment="1">
      <alignment horizontal="center" vertical="center"/>
    </xf>
    <xf numFmtId="164" fontId="18" fillId="0" borderId="0" xfId="15" applyNumberFormat="1" applyFont="1" applyAlignment="1">
      <alignment horizontal="center" vertical="center"/>
    </xf>
    <xf numFmtId="164" fontId="18" fillId="0" borderId="0" xfId="0" applyNumberFormat="1" applyFont="1" applyAlignment="1">
      <alignment vertical="center"/>
    </xf>
    <xf numFmtId="4" fontId="14" fillId="0" borderId="14" xfId="15" applyNumberFormat="1" applyFont="1" applyBorder="1" applyAlignment="1">
      <alignment horizontal="right"/>
    </xf>
    <xf numFmtId="164" fontId="15" fillId="0" borderId="0" xfId="29" applyNumberFormat="1" applyFont="1" applyAlignment="1">
      <alignment/>
      <protection/>
    </xf>
    <xf numFmtId="164" fontId="15" fillId="0" borderId="0" xfId="29" applyNumberFormat="1" applyFont="1" applyAlignment="1">
      <alignment horizontal="right"/>
      <protection/>
    </xf>
    <xf numFmtId="164" fontId="15" fillId="0" borderId="0" xfId="29" applyNumberFormat="1" applyFont="1" applyBorder="1" applyAlignment="1">
      <alignment horizontal="right"/>
      <protection/>
    </xf>
    <xf numFmtId="164" fontId="16" fillId="0" borderId="0" xfId="15" applyNumberFormat="1" applyFont="1" applyAlignment="1">
      <alignment horizontal="right"/>
    </xf>
    <xf numFmtId="164" fontId="14" fillId="0" borderId="0" xfId="15" applyNumberFormat="1" applyFont="1" applyAlignment="1">
      <alignment horizontal="right"/>
    </xf>
    <xf numFmtId="37" fontId="16" fillId="0" borderId="0" xfId="29" applyNumberFormat="1" applyFont="1" applyAlignment="1">
      <alignment horizontal="left"/>
      <protection/>
    </xf>
    <xf numFmtId="37" fontId="16" fillId="0" borderId="0" xfId="29" applyNumberFormat="1" applyFont="1" applyAlignment="1">
      <alignment horizontal="right"/>
      <protection/>
    </xf>
    <xf numFmtId="37" fontId="16" fillId="0" borderId="0" xfId="29" applyNumberFormat="1" applyFont="1" applyBorder="1" applyAlignment="1">
      <alignment horizontal="right"/>
      <protection/>
    </xf>
    <xf numFmtId="164" fontId="14" fillId="0" borderId="0" xfId="15" applyNumberFormat="1" applyFont="1" applyAlignment="1">
      <alignment/>
    </xf>
    <xf numFmtId="164" fontId="16" fillId="0" borderId="0" xfId="15" applyNumberFormat="1" applyFont="1" applyAlignment="1">
      <alignment/>
    </xf>
    <xf numFmtId="37" fontId="14" fillId="0" borderId="6" xfId="30" applyNumberFormat="1" applyFont="1" applyBorder="1" applyAlignment="1">
      <alignment horizontal="left"/>
      <protection/>
    </xf>
    <xf numFmtId="37" fontId="16" fillId="0" borderId="6" xfId="30" applyNumberFormat="1" applyFont="1" applyBorder="1" applyAlignment="1">
      <alignment horizontal="left"/>
      <protection/>
    </xf>
    <xf numFmtId="37" fontId="14" fillId="0" borderId="6" xfId="30" applyNumberFormat="1" applyFont="1" applyBorder="1" applyAlignment="1">
      <alignment horizontal="right"/>
      <protection/>
    </xf>
    <xf numFmtId="164" fontId="14" fillId="0" borderId="6" xfId="15" applyNumberFormat="1" applyFont="1" applyBorder="1" applyAlignment="1">
      <alignment/>
    </xf>
    <xf numFmtId="37" fontId="14" fillId="0" borderId="0" xfId="30" applyNumberFormat="1" applyFont="1" applyBorder="1" applyAlignment="1">
      <alignment horizontal="left" vertical="center"/>
      <protection/>
    </xf>
    <xf numFmtId="37" fontId="16" fillId="0" borderId="0" xfId="30" applyNumberFormat="1" applyFont="1" applyBorder="1" applyAlignment="1">
      <alignment horizontal="left" vertical="center"/>
      <protection/>
    </xf>
    <xf numFmtId="37" fontId="14" fillId="0" borderId="0" xfId="30" applyNumberFormat="1" applyFont="1" applyBorder="1" applyAlignment="1">
      <alignment horizontal="right" vertical="center"/>
      <protection/>
    </xf>
    <xf numFmtId="37" fontId="14" fillId="0" borderId="0" xfId="0" applyNumberFormat="1" applyFont="1" applyAlignment="1">
      <alignment/>
    </xf>
    <xf numFmtId="37" fontId="16" fillId="0" borderId="14" xfId="28" applyNumberFormat="1" applyFont="1" applyBorder="1" applyAlignment="1">
      <alignment horizontal="center"/>
      <protection/>
    </xf>
    <xf numFmtId="37" fontId="14" fillId="0" borderId="14" xfId="28" applyNumberFormat="1" applyFont="1" applyBorder="1" applyAlignment="1">
      <alignment horizontal="center"/>
      <protection/>
    </xf>
    <xf numFmtId="37" fontId="16" fillId="0" borderId="14" xfId="28" applyNumberFormat="1" applyFont="1" applyBorder="1" applyAlignment="1">
      <alignment horizontal="right"/>
      <protection/>
    </xf>
    <xf numFmtId="164" fontId="16" fillId="0" borderId="14" xfId="15" applyNumberFormat="1" applyFont="1" applyBorder="1" applyAlignment="1">
      <alignment horizontal="right"/>
    </xf>
    <xf numFmtId="37" fontId="14" fillId="0" borderId="0" xfId="28" applyNumberFormat="1" applyFont="1" applyAlignment="1">
      <alignment vertical="center"/>
      <protection/>
    </xf>
    <xf numFmtId="37" fontId="16" fillId="0" borderId="0" xfId="28" applyNumberFormat="1" applyFont="1" applyBorder="1" applyAlignment="1">
      <alignment vertical="center"/>
      <protection/>
    </xf>
    <xf numFmtId="37" fontId="14" fillId="0" borderId="0" xfId="28" applyNumberFormat="1" applyFont="1" applyAlignment="1">
      <alignment horizontal="right" vertical="center"/>
      <protection/>
    </xf>
    <xf numFmtId="37" fontId="14" fillId="0" borderId="0" xfId="28" applyNumberFormat="1" applyFont="1" applyBorder="1" applyAlignment="1">
      <alignment horizontal="right" vertical="center"/>
      <protection/>
    </xf>
    <xf numFmtId="164" fontId="14" fillId="0" borderId="0" xfId="27" applyNumberFormat="1" applyFont="1" applyAlignment="1">
      <alignment vertical="center"/>
      <protection/>
    </xf>
    <xf numFmtId="164" fontId="16" fillId="0" borderId="0" xfId="27" applyNumberFormat="1" applyFont="1" applyBorder="1" applyAlignment="1">
      <alignment vertical="center"/>
      <protection/>
    </xf>
    <xf numFmtId="164" fontId="14" fillId="0" borderId="0" xfId="27" applyNumberFormat="1" applyFont="1">
      <alignment/>
      <protection/>
    </xf>
    <xf numFmtId="164" fontId="16" fillId="0" borderId="0" xfId="27" applyNumberFormat="1" applyFont="1" applyBorder="1">
      <alignment/>
      <protection/>
    </xf>
    <xf numFmtId="0" fontId="14" fillId="0" borderId="0" xfId="0" applyFont="1" applyAlignment="1">
      <alignment horizontal="left" indent="6"/>
    </xf>
    <xf numFmtId="0" fontId="14" fillId="0" borderId="0" xfId="0" applyFont="1" applyBorder="1" applyAlignment="1">
      <alignment horizontal="right"/>
    </xf>
    <xf numFmtId="0" fontId="14" fillId="0" borderId="0" xfId="0" applyFont="1" applyAlignment="1" quotePrefix="1">
      <alignment horizontal="left" indent="5"/>
    </xf>
    <xf numFmtId="41" fontId="14" fillId="0" borderId="0" xfId="15" applyNumberFormat="1" applyFont="1" applyAlignment="1">
      <alignment/>
    </xf>
    <xf numFmtId="0" fontId="22" fillId="0" borderId="0" xfId="0" applyFont="1" applyBorder="1" applyAlignment="1">
      <alignment horizontal="right"/>
    </xf>
    <xf numFmtId="0" fontId="16" fillId="0" borderId="0" xfId="0" applyFont="1" applyAlignment="1">
      <alignment vertical="center"/>
    </xf>
    <xf numFmtId="41" fontId="14" fillId="0" borderId="0" xfId="0" applyNumberFormat="1" applyFont="1" applyAlignment="1">
      <alignment horizontal="right"/>
    </xf>
    <xf numFmtId="0" fontId="14" fillId="0" borderId="6" xfId="0" applyFont="1" applyBorder="1" applyAlignment="1">
      <alignment/>
    </xf>
    <xf numFmtId="0" fontId="22" fillId="0" borderId="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41" fontId="21" fillId="0" borderId="0" xfId="15" applyNumberFormat="1" applyFont="1" applyBorder="1" applyAlignment="1">
      <alignment horizontal="right"/>
    </xf>
    <xf numFmtId="41" fontId="14" fillId="0" borderId="0" xfId="0" applyNumberFormat="1" applyFont="1" applyBorder="1" applyAlignment="1">
      <alignment horizontal="center"/>
    </xf>
    <xf numFmtId="0" fontId="16" fillId="0" borderId="0" xfId="0" applyFont="1" applyAlignment="1" quotePrefix="1">
      <alignment horizontal="left"/>
    </xf>
    <xf numFmtId="41" fontId="14" fillId="0" borderId="0" xfId="0" applyNumberFormat="1" applyFont="1" applyAlignment="1">
      <alignment/>
    </xf>
    <xf numFmtId="3" fontId="16" fillId="0" borderId="0" xfId="0" applyNumberFormat="1" applyFont="1" applyAlignment="1">
      <alignment vertical="top"/>
    </xf>
    <xf numFmtId="0" fontId="16" fillId="0" borderId="0" xfId="0" applyFont="1" applyAlignment="1" quotePrefix="1">
      <alignment vertical="top"/>
    </xf>
    <xf numFmtId="41" fontId="14" fillId="0" borderId="0" xfId="0" applyNumberFormat="1" applyFont="1" applyAlignment="1">
      <alignment horizontal="left" vertical="center"/>
    </xf>
    <xf numFmtId="0" fontId="16" fillId="0" borderId="0" xfId="0" applyFont="1" applyAlignment="1" quotePrefix="1">
      <alignment vertical="center"/>
    </xf>
    <xf numFmtId="0" fontId="16" fillId="0" borderId="0" xfId="0" applyFont="1" applyAlignment="1" quotePrefix="1">
      <alignment/>
    </xf>
    <xf numFmtId="0" fontId="14" fillId="0" borderId="0" xfId="0" applyFont="1" applyAlignment="1" quotePrefix="1">
      <alignment/>
    </xf>
    <xf numFmtId="41" fontId="16" fillId="0" borderId="0" xfId="0" applyNumberFormat="1" applyFont="1" applyAlignment="1">
      <alignment/>
    </xf>
    <xf numFmtId="0" fontId="27" fillId="0" borderId="0" xfId="0" applyFont="1" applyAlignment="1" quotePrefix="1">
      <alignment/>
    </xf>
    <xf numFmtId="0" fontId="14" fillId="0" borderId="0" xfId="0" applyFont="1" applyAlignment="1" quotePrefix="1">
      <alignment horizontal="left" vertical="top"/>
    </xf>
    <xf numFmtId="0" fontId="16" fillId="0" borderId="0" xfId="0" applyFont="1" applyBorder="1" applyAlignment="1" quotePrefix="1">
      <alignment horizontal="left"/>
    </xf>
    <xf numFmtId="0" fontId="16" fillId="0" borderId="6" xfId="0" applyFont="1" applyBorder="1" applyAlignment="1">
      <alignment horizontal="left"/>
    </xf>
    <xf numFmtId="0" fontId="14" fillId="0" borderId="6" xfId="0" applyFont="1" applyBorder="1" applyAlignment="1">
      <alignment horizontal="left"/>
    </xf>
    <xf numFmtId="0" fontId="14" fillId="0" borderId="0" xfId="0" applyFont="1" applyBorder="1" applyAlignment="1" quotePrefix="1">
      <alignment/>
    </xf>
    <xf numFmtId="0" fontId="14" fillId="0" borderId="0" xfId="0" applyFont="1" applyBorder="1" applyAlignment="1">
      <alignment horizontal="left"/>
    </xf>
    <xf numFmtId="41" fontId="14" fillId="0" borderId="0" xfId="15" applyNumberFormat="1" applyFont="1" applyBorder="1" applyAlignment="1">
      <alignment/>
    </xf>
    <xf numFmtId="41" fontId="14" fillId="0" borderId="0" xfId="15" applyNumberFormat="1" applyFont="1" applyBorder="1" applyAlignment="1">
      <alignment horizontal="center"/>
    </xf>
    <xf numFmtId="41" fontId="14" fillId="0" borderId="0" xfId="15" applyNumberFormat="1" applyFont="1" applyBorder="1" applyAlignment="1">
      <alignment horizontal="right"/>
    </xf>
    <xf numFmtId="0" fontId="14" fillId="0" borderId="21" xfId="0" applyFont="1" applyBorder="1" applyAlignment="1">
      <alignment/>
    </xf>
    <xf numFmtId="0" fontId="14" fillId="0" borderId="21" xfId="0" applyFont="1" applyBorder="1" applyAlignment="1">
      <alignment horizontal="left"/>
    </xf>
    <xf numFmtId="0" fontId="16" fillId="0" borderId="21" xfId="0" applyFont="1" applyBorder="1" applyAlignment="1">
      <alignment horizontal="center"/>
    </xf>
    <xf numFmtId="164" fontId="14" fillId="0" borderId="21" xfId="15" applyNumberFormat="1" applyFont="1" applyBorder="1" applyAlignment="1">
      <alignment horizontal="right"/>
    </xf>
    <xf numFmtId="41" fontId="16" fillId="0" borderId="21" xfId="0" applyNumberFormat="1" applyFont="1" applyBorder="1" applyAlignment="1">
      <alignment horizontal="right"/>
    </xf>
    <xf numFmtId="41" fontId="16" fillId="0" borderId="0" xfId="0" applyNumberFormat="1" applyFont="1" applyBorder="1" applyAlignment="1">
      <alignment horizontal="right"/>
    </xf>
    <xf numFmtId="0" fontId="16" fillId="0" borderId="0" xfId="0" applyFont="1" applyFill="1" applyBorder="1" applyAlignment="1" quotePrefix="1">
      <alignment horizontal="left"/>
    </xf>
    <xf numFmtId="0" fontId="16" fillId="0" borderId="6" xfId="0" applyFont="1" applyBorder="1" applyAlignment="1">
      <alignment/>
    </xf>
    <xf numFmtId="164" fontId="14" fillId="0" borderId="6" xfId="15" applyNumberFormat="1" applyFont="1" applyBorder="1" applyAlignment="1">
      <alignment horizontal="right"/>
    </xf>
    <xf numFmtId="0" fontId="14" fillId="0" borderId="0" xfId="0" applyFont="1" applyBorder="1" applyAlignment="1">
      <alignment horizontal="justify"/>
    </xf>
    <xf numFmtId="0" fontId="16" fillId="0" borderId="6" xfId="0" applyFont="1" applyFill="1" applyBorder="1" applyAlignment="1">
      <alignment horizontal="left"/>
    </xf>
    <xf numFmtId="0" fontId="14" fillId="0" borderId="6" xfId="0" applyFont="1" applyFill="1" applyBorder="1" applyAlignment="1">
      <alignment horizontal="left"/>
    </xf>
    <xf numFmtId="0" fontId="14" fillId="0" borderId="6" xfId="0" applyFont="1" applyFill="1" applyBorder="1" applyAlignment="1">
      <alignment horizontal="justify"/>
    </xf>
    <xf numFmtId="0" fontId="14" fillId="0" borderId="0" xfId="0" applyFont="1" applyFill="1" applyAlignment="1">
      <alignment horizontal="center"/>
    </xf>
    <xf numFmtId="0" fontId="14" fillId="0" borderId="0" xfId="0" applyFont="1" applyFill="1" applyAlignment="1" quotePrefix="1">
      <alignment horizontal="left"/>
    </xf>
    <xf numFmtId="0" fontId="14" fillId="0" borderId="0" xfId="0" applyFont="1" applyFill="1" applyAlignment="1">
      <alignment/>
    </xf>
    <xf numFmtId="0" fontId="14" fillId="0" borderId="0" xfId="0" applyFont="1" applyFill="1" applyBorder="1" applyAlignment="1">
      <alignment horizontal="left"/>
    </xf>
    <xf numFmtId="0" fontId="14" fillId="0" borderId="0" xfId="0" applyFont="1" applyFill="1" applyBorder="1" applyAlignment="1">
      <alignment horizontal="justify"/>
    </xf>
    <xf numFmtId="41" fontId="14" fillId="0" borderId="0" xfId="15" applyNumberFormat="1" applyFont="1" applyFill="1" applyAlignment="1">
      <alignment/>
    </xf>
    <xf numFmtId="0" fontId="28" fillId="0" borderId="0" xfId="0" applyFont="1" applyFill="1" applyBorder="1" applyAlignment="1">
      <alignment horizontal="left"/>
    </xf>
    <xf numFmtId="0" fontId="21" fillId="0" borderId="0" xfId="0" applyFont="1" applyFill="1" applyAlignment="1" quotePrefix="1">
      <alignment/>
    </xf>
    <xf numFmtId="41" fontId="21" fillId="0" borderId="0" xfId="15" applyNumberFormat="1" applyFont="1" applyFill="1" applyAlignment="1">
      <alignment/>
    </xf>
    <xf numFmtId="0" fontId="14" fillId="0" borderId="0" xfId="0" applyFont="1" applyFill="1" applyAlignment="1" quotePrefix="1">
      <alignment/>
    </xf>
    <xf numFmtId="41" fontId="14" fillId="0" borderId="0" xfId="0" applyNumberFormat="1" applyFont="1" applyFill="1" applyAlignment="1">
      <alignment/>
    </xf>
    <xf numFmtId="0" fontId="14" fillId="0" borderId="21" xfId="0" applyFont="1" applyFill="1" applyBorder="1" applyAlignment="1">
      <alignment/>
    </xf>
    <xf numFmtId="0" fontId="14" fillId="0" borderId="21" xfId="0" applyFont="1" applyFill="1" applyBorder="1" applyAlignment="1">
      <alignment horizontal="left"/>
    </xf>
    <xf numFmtId="0" fontId="16" fillId="0" borderId="21" xfId="0" applyFont="1" applyFill="1" applyBorder="1" applyAlignment="1">
      <alignment horizontal="center"/>
    </xf>
    <xf numFmtId="164" fontId="14" fillId="0" borderId="21" xfId="15" applyNumberFormat="1" applyFont="1" applyFill="1" applyBorder="1" applyAlignment="1">
      <alignment horizontal="right"/>
    </xf>
    <xf numFmtId="41" fontId="16" fillId="0" borderId="21" xfId="0" applyNumberFormat="1" applyFont="1" applyFill="1" applyBorder="1" applyAlignment="1">
      <alignment horizontal="right"/>
    </xf>
    <xf numFmtId="0" fontId="14" fillId="0" borderId="6" xfId="0" applyFont="1" applyBorder="1" applyAlignment="1">
      <alignment horizontal="justify"/>
    </xf>
    <xf numFmtId="0" fontId="16" fillId="0" borderId="21" xfId="0" applyFont="1" applyBorder="1" applyAlignment="1">
      <alignment/>
    </xf>
    <xf numFmtId="41" fontId="14" fillId="0" borderId="21" xfId="15" applyNumberFormat="1" applyFont="1" applyBorder="1" applyAlignment="1">
      <alignment/>
    </xf>
    <xf numFmtId="41" fontId="16" fillId="0" borderId="21" xfId="15" applyNumberFormat="1" applyFont="1" applyBorder="1" applyAlignment="1">
      <alignment/>
    </xf>
    <xf numFmtId="0" fontId="14" fillId="0" borderId="21" xfId="0" applyFont="1" applyBorder="1" applyAlignment="1" quotePrefix="1">
      <alignment/>
    </xf>
    <xf numFmtId="0" fontId="14" fillId="0" borderId="21" xfId="0" applyFont="1" applyBorder="1" applyAlignment="1">
      <alignment horizontal="justify"/>
    </xf>
    <xf numFmtId="41" fontId="14" fillId="0" borderId="0" xfId="0" applyNumberFormat="1" applyFont="1" applyBorder="1" applyAlignment="1">
      <alignment/>
    </xf>
    <xf numFmtId="0" fontId="16" fillId="0" borderId="11" xfId="31" applyFont="1" applyBorder="1" applyAlignment="1">
      <alignment horizontal="center" vertical="center"/>
      <protection/>
    </xf>
    <xf numFmtId="0" fontId="16" fillId="0" borderId="11" xfId="31" applyFont="1" applyBorder="1" applyAlignment="1">
      <alignment horizontal="center" vertical="center" wrapText="1"/>
      <protection/>
    </xf>
    <xf numFmtId="41" fontId="16" fillId="0" borderId="11" xfId="31" applyNumberFormat="1" applyFont="1" applyBorder="1" applyAlignment="1">
      <alignment horizontal="center" vertical="center" wrapText="1"/>
      <protection/>
    </xf>
    <xf numFmtId="41" fontId="16" fillId="0" borderId="11" xfId="31" applyNumberFormat="1" applyFont="1" applyBorder="1" applyAlignment="1">
      <alignment horizontal="right" vertical="center"/>
      <protection/>
    </xf>
    <xf numFmtId="0" fontId="16" fillId="0" borderId="11" xfId="31" applyFont="1" applyBorder="1" applyAlignment="1">
      <alignment horizontal="left" vertical="center"/>
      <protection/>
    </xf>
    <xf numFmtId="41" fontId="14" fillId="0" borderId="6" xfId="0" applyNumberFormat="1" applyFont="1" applyBorder="1" applyAlignment="1">
      <alignment/>
    </xf>
    <xf numFmtId="0" fontId="14" fillId="0" borderId="9" xfId="31" applyFont="1" applyBorder="1" applyAlignment="1">
      <alignment horizontal="left"/>
      <protection/>
    </xf>
    <xf numFmtId="3" fontId="14" fillId="0" borderId="9" xfId="15" applyNumberFormat="1" applyFont="1" applyBorder="1" applyAlignment="1">
      <alignment/>
    </xf>
    <xf numFmtId="0" fontId="14" fillId="0" borderId="9" xfId="0" applyFont="1" applyBorder="1" applyAlignment="1">
      <alignment/>
    </xf>
    <xf numFmtId="41" fontId="14" fillId="0" borderId="9" xfId="15" applyNumberFormat="1" applyFont="1" applyBorder="1" applyAlignment="1">
      <alignment/>
    </xf>
    <xf numFmtId="0" fontId="21" fillId="0" borderId="0" xfId="31" applyFont="1" applyBorder="1" applyAlignment="1" quotePrefix="1">
      <alignment horizontal="left"/>
      <protection/>
    </xf>
    <xf numFmtId="3" fontId="14" fillId="0" borderId="0" xfId="15" applyNumberFormat="1" applyFont="1" applyBorder="1" applyAlignment="1">
      <alignment/>
    </xf>
    <xf numFmtId="41" fontId="21" fillId="0" borderId="0" xfId="15" applyNumberFormat="1" applyFont="1" applyBorder="1" applyAlignment="1">
      <alignment/>
    </xf>
    <xf numFmtId="41" fontId="21" fillId="0" borderId="10" xfId="31" applyNumberFormat="1" applyFont="1" applyBorder="1" applyAlignment="1">
      <alignment horizontal="right"/>
      <protection/>
    </xf>
    <xf numFmtId="0" fontId="21" fillId="0" borderId="10" xfId="31" applyFont="1" applyBorder="1" applyAlignment="1" quotePrefix="1">
      <alignment horizontal="left"/>
      <protection/>
    </xf>
    <xf numFmtId="3" fontId="21" fillId="0" borderId="10" xfId="31" applyNumberFormat="1" applyFont="1" applyBorder="1" applyAlignment="1">
      <alignment/>
      <protection/>
    </xf>
    <xf numFmtId="0" fontId="21" fillId="0" borderId="10" xfId="0" applyFont="1" applyBorder="1" applyAlignment="1">
      <alignment/>
    </xf>
    <xf numFmtId="41" fontId="21" fillId="0" borderId="10" xfId="31" applyNumberFormat="1" applyFont="1" applyBorder="1" applyAlignment="1">
      <alignment/>
      <protection/>
    </xf>
    <xf numFmtId="41" fontId="29" fillId="0" borderId="10" xfId="15" applyNumberFormat="1" applyFont="1" applyBorder="1" applyAlignment="1">
      <alignment/>
    </xf>
    <xf numFmtId="41" fontId="21" fillId="0" borderId="10" xfId="15" applyNumberFormat="1" applyFont="1" applyBorder="1" applyAlignment="1">
      <alignment/>
    </xf>
    <xf numFmtId="3" fontId="21" fillId="0" borderId="0" xfId="31" applyNumberFormat="1" applyFont="1" applyBorder="1" applyAlignment="1">
      <alignment/>
      <protection/>
    </xf>
    <xf numFmtId="41" fontId="21" fillId="0" borderId="0" xfId="31" applyNumberFormat="1" applyFont="1" applyBorder="1" applyAlignment="1">
      <alignment/>
      <protection/>
    </xf>
    <xf numFmtId="0" fontId="14" fillId="0" borderId="22" xfId="31" applyFont="1" applyBorder="1" applyAlignment="1">
      <alignment horizontal="left"/>
      <protection/>
    </xf>
    <xf numFmtId="3" fontId="21" fillId="0" borderId="22" xfId="15" applyNumberFormat="1" applyFont="1" applyBorder="1" applyAlignment="1">
      <alignment/>
    </xf>
    <xf numFmtId="3" fontId="21" fillId="0" borderId="22" xfId="15" applyNumberFormat="1" applyFont="1" applyBorder="1" applyAlignment="1">
      <alignment horizontal="right"/>
    </xf>
    <xf numFmtId="0" fontId="14" fillId="0" borderId="22" xfId="0" applyFont="1" applyBorder="1" applyAlignment="1">
      <alignment/>
    </xf>
    <xf numFmtId="41" fontId="14" fillId="0" borderId="22" xfId="31" applyNumberFormat="1" applyFont="1" applyBorder="1" applyAlignment="1">
      <alignment horizontal="right"/>
      <protection/>
    </xf>
    <xf numFmtId="0" fontId="17" fillId="0" borderId="11" xfId="0" applyFont="1" applyBorder="1" applyAlignment="1">
      <alignment horizontal="left" vertical="center"/>
    </xf>
    <xf numFmtId="41" fontId="14" fillId="0" borderId="11" xfId="15" applyNumberFormat="1" applyFont="1" applyBorder="1" applyAlignment="1">
      <alignment/>
    </xf>
    <xf numFmtId="41" fontId="16" fillId="0" borderId="11" xfId="15" applyNumberFormat="1" applyFont="1" applyBorder="1" applyAlignment="1">
      <alignment/>
    </xf>
    <xf numFmtId="41" fontId="14" fillId="0" borderId="9" xfId="31" applyNumberFormat="1" applyFont="1" applyBorder="1" applyAlignment="1">
      <alignment horizontal="right"/>
      <protection/>
    </xf>
    <xf numFmtId="164" fontId="14" fillId="0" borderId="9" xfId="15" applyNumberFormat="1" applyFont="1" applyBorder="1" applyAlignment="1">
      <alignment/>
    </xf>
    <xf numFmtId="0" fontId="21" fillId="0" borderId="9" xfId="31" applyFont="1" applyBorder="1" applyAlignment="1" quotePrefix="1">
      <alignment horizontal="left"/>
      <protection/>
    </xf>
    <xf numFmtId="3" fontId="21" fillId="0" borderId="9" xfId="15" applyNumberFormat="1" applyFont="1" applyBorder="1" applyAlignment="1">
      <alignment/>
    </xf>
    <xf numFmtId="0" fontId="21" fillId="0" borderId="9" xfId="0" applyFont="1" applyBorder="1" applyAlignment="1">
      <alignment/>
    </xf>
    <xf numFmtId="41" fontId="21" fillId="0" borderId="9" xfId="31" applyNumberFormat="1" applyFont="1" applyBorder="1" applyAlignment="1">
      <alignment horizontal="right"/>
      <protection/>
    </xf>
    <xf numFmtId="164" fontId="21" fillId="0" borderId="9" xfId="15" applyNumberFormat="1" applyFont="1" applyBorder="1" applyAlignment="1">
      <alignment/>
    </xf>
    <xf numFmtId="41" fontId="21" fillId="0" borderId="9" xfId="15" applyNumberFormat="1" applyFont="1" applyBorder="1" applyAlignment="1">
      <alignment/>
    </xf>
    <xf numFmtId="0" fontId="21" fillId="0" borderId="12" xfId="31" applyFont="1" applyBorder="1" applyAlignment="1" quotePrefix="1">
      <alignment horizontal="left"/>
      <protection/>
    </xf>
    <xf numFmtId="3" fontId="21" fillId="0" borderId="10" xfId="15" applyNumberFormat="1" applyFont="1" applyBorder="1" applyAlignment="1">
      <alignment/>
    </xf>
    <xf numFmtId="0" fontId="14" fillId="0" borderId="6" xfId="31" applyFont="1" applyBorder="1" applyAlignment="1">
      <alignment horizontal="left"/>
      <protection/>
    </xf>
    <xf numFmtId="3" fontId="21" fillId="0" borderId="0" xfId="15" applyNumberFormat="1" applyFont="1" applyBorder="1" applyAlignment="1">
      <alignment/>
    </xf>
    <xf numFmtId="3" fontId="21" fillId="0" borderId="0" xfId="15" applyNumberFormat="1" applyFont="1" applyBorder="1" applyAlignment="1">
      <alignment horizontal="right"/>
    </xf>
    <xf numFmtId="41" fontId="14" fillId="0" borderId="6" xfId="31" applyNumberFormat="1" applyFont="1" applyBorder="1" applyAlignment="1">
      <alignment horizontal="right"/>
      <protection/>
    </xf>
    <xf numFmtId="41" fontId="14" fillId="0" borderId="6" xfId="15" applyNumberFormat="1" applyFont="1" applyBorder="1" applyAlignment="1">
      <alignment/>
    </xf>
    <xf numFmtId="0" fontId="17" fillId="0" borderId="11" xfId="0" applyFont="1" applyBorder="1" applyAlignment="1">
      <alignment horizontal="left"/>
    </xf>
    <xf numFmtId="0" fontId="14" fillId="0" borderId="0" xfId="31" applyFont="1" applyBorder="1" applyAlignment="1">
      <alignment horizontal="left"/>
      <protection/>
    </xf>
    <xf numFmtId="3" fontId="14" fillId="0" borderId="0" xfId="15" applyNumberFormat="1" applyFont="1" applyBorder="1" applyAlignment="1">
      <alignment horizontal="right"/>
    </xf>
    <xf numFmtId="41" fontId="14" fillId="0" borderId="0" xfId="31" applyNumberFormat="1" applyFont="1" applyBorder="1" applyAlignment="1">
      <alignment horizontal="right"/>
      <protection/>
    </xf>
    <xf numFmtId="0" fontId="14" fillId="0" borderId="14" xfId="31" applyFont="1" applyBorder="1" applyAlignment="1">
      <alignment horizontal="left"/>
      <protection/>
    </xf>
    <xf numFmtId="3" fontId="14" fillId="0" borderId="14" xfId="15" applyNumberFormat="1" applyFont="1" applyBorder="1" applyAlignment="1">
      <alignment horizontal="right"/>
    </xf>
    <xf numFmtId="0" fontId="14" fillId="0" borderId="14" xfId="0" applyFont="1" applyFill="1" applyBorder="1" applyAlignment="1">
      <alignment/>
    </xf>
    <xf numFmtId="41" fontId="14" fillId="0" borderId="14" xfId="31" applyNumberFormat="1" applyFont="1" applyBorder="1" applyAlignment="1">
      <alignment horizontal="right"/>
      <protection/>
    </xf>
    <xf numFmtId="0" fontId="21" fillId="0" borderId="0" xfId="31" applyFont="1" applyBorder="1" applyAlignment="1">
      <alignment horizontal="left"/>
      <protection/>
    </xf>
    <xf numFmtId="3" fontId="14" fillId="0" borderId="0" xfId="31" applyNumberFormat="1" applyFont="1" applyBorder="1" applyAlignment="1">
      <alignment horizontal="right"/>
      <protection/>
    </xf>
    <xf numFmtId="167" fontId="30" fillId="0" borderId="0" xfId="31" applyNumberFormat="1" applyFont="1" applyBorder="1" applyAlignment="1">
      <alignment horizontal="right"/>
      <protection/>
    </xf>
    <xf numFmtId="167" fontId="14" fillId="0" borderId="0" xfId="31" applyNumberFormat="1" applyFont="1" applyBorder="1" applyAlignment="1">
      <alignment horizontal="right"/>
      <protection/>
    </xf>
    <xf numFmtId="0" fontId="14" fillId="0" borderId="0" xfId="0" applyFont="1" applyAlignment="1" quotePrefix="1">
      <alignment horizontal="left"/>
    </xf>
    <xf numFmtId="41" fontId="14" fillId="0" borderId="0" xfId="0" applyNumberFormat="1" applyFont="1" applyAlignment="1" quotePrefix="1">
      <alignment horizontal="left"/>
    </xf>
    <xf numFmtId="3" fontId="14" fillId="0" borderId="6" xfId="15" applyNumberFormat="1" applyFont="1" applyBorder="1" applyAlignment="1">
      <alignment horizontal="right"/>
    </xf>
    <xf numFmtId="167" fontId="14" fillId="0" borderId="6" xfId="31" applyNumberFormat="1" applyFont="1" applyBorder="1" applyAlignment="1">
      <alignment horizontal="right"/>
      <protection/>
    </xf>
    <xf numFmtId="164" fontId="14" fillId="0" borderId="14" xfId="15" applyNumberFormat="1" applyFont="1" applyBorder="1" applyAlignment="1">
      <alignment horizontal="right"/>
    </xf>
    <xf numFmtId="0" fontId="16" fillId="0" borderId="6" xfId="31" applyFont="1" applyBorder="1" applyAlignment="1">
      <alignment horizontal="left"/>
      <protection/>
    </xf>
    <xf numFmtId="3" fontId="14" fillId="0" borderId="0" xfId="31" applyNumberFormat="1" applyFont="1" applyBorder="1" applyAlignment="1" quotePrefix="1">
      <alignment horizontal="left"/>
      <protection/>
    </xf>
    <xf numFmtId="0" fontId="17" fillId="0" borderId="0" xfId="0" applyFont="1" applyAlignment="1">
      <alignment horizontal="left"/>
    </xf>
    <xf numFmtId="3" fontId="14" fillId="0" borderId="14" xfId="31" applyNumberFormat="1" applyFont="1" applyBorder="1" applyAlignment="1">
      <alignment horizontal="right"/>
      <protection/>
    </xf>
    <xf numFmtId="164" fontId="21" fillId="0" borderId="14" xfId="15" applyNumberFormat="1" applyFont="1" applyBorder="1" applyAlignment="1">
      <alignment horizontal="right"/>
    </xf>
    <xf numFmtId="0" fontId="16" fillId="0" borderId="0" xfId="31" applyFont="1" applyBorder="1" applyAlignment="1">
      <alignment horizontal="left"/>
      <protection/>
    </xf>
    <xf numFmtId="3" fontId="16" fillId="0" borderId="6" xfId="15" applyNumberFormat="1" applyFont="1" applyBorder="1" applyAlignment="1">
      <alignment/>
    </xf>
    <xf numFmtId="164" fontId="14" fillId="0" borderId="6" xfId="15" applyNumberFormat="1" applyFont="1" applyBorder="1" applyAlignment="1">
      <alignment horizontal="left"/>
    </xf>
    <xf numFmtId="164" fontId="14" fillId="0" borderId="6" xfId="15" applyNumberFormat="1" applyFont="1" applyBorder="1" applyAlignment="1">
      <alignment horizontal="justify"/>
    </xf>
    <xf numFmtId="0" fontId="14" fillId="0" borderId="7" xfId="0" applyFont="1" applyBorder="1" applyAlignment="1" quotePrefix="1">
      <alignment horizontal="left"/>
    </xf>
    <xf numFmtId="0" fontId="14" fillId="0" borderId="7" xfId="0" applyFont="1" applyBorder="1" applyAlignment="1">
      <alignment horizontal="left"/>
    </xf>
    <xf numFmtId="164" fontId="14" fillId="0" borderId="7" xfId="15" applyNumberFormat="1" applyFont="1" applyBorder="1" applyAlignment="1">
      <alignment horizontal="left"/>
    </xf>
    <xf numFmtId="164" fontId="14" fillId="0" borderId="7" xfId="15" applyNumberFormat="1" applyFont="1" applyBorder="1" applyAlignment="1">
      <alignment horizontal="justify"/>
    </xf>
    <xf numFmtId="14" fontId="16" fillId="0" borderId="7" xfId="15" applyNumberFormat="1" applyFont="1" applyBorder="1" applyAlignment="1">
      <alignment horizontal="right"/>
    </xf>
    <xf numFmtId="0" fontId="14" fillId="0" borderId="0" xfId="0" applyFont="1" applyBorder="1" applyAlignment="1" quotePrefix="1">
      <alignment horizontal="left"/>
    </xf>
    <xf numFmtId="164" fontId="14" fillId="0" borderId="0" xfId="15" applyNumberFormat="1" applyFont="1" applyBorder="1" applyAlignment="1">
      <alignment horizontal="left"/>
    </xf>
    <xf numFmtId="14" fontId="16" fillId="0" borderId="0" xfId="15" applyNumberFormat="1" applyFont="1" applyBorder="1" applyAlignment="1">
      <alignment horizontal="right"/>
    </xf>
    <xf numFmtId="0" fontId="14" fillId="0" borderId="0" xfId="0" applyFont="1" applyAlignment="1" quotePrefix="1">
      <alignment horizontal="center"/>
    </xf>
    <xf numFmtId="164" fontId="14" fillId="0" borderId="0" xfId="15" applyNumberFormat="1" applyFont="1" applyBorder="1" applyAlignment="1">
      <alignment horizontal="justify"/>
    </xf>
    <xf numFmtId="0" fontId="14" fillId="0" borderId="0" xfId="0" applyFont="1" applyFill="1" applyAlignment="1" quotePrefix="1">
      <alignment horizontal="center"/>
    </xf>
    <xf numFmtId="0" fontId="14" fillId="0" borderId="0" xfId="0" applyFont="1" applyFill="1" applyBorder="1" applyAlignment="1" quotePrefix="1">
      <alignment horizontal="left"/>
    </xf>
    <xf numFmtId="164" fontId="14" fillId="0" borderId="0" xfId="15" applyNumberFormat="1" applyFont="1" applyFill="1" applyBorder="1" applyAlignment="1">
      <alignment horizontal="left"/>
    </xf>
    <xf numFmtId="164" fontId="14" fillId="0" borderId="0" xfId="15" applyNumberFormat="1" applyFont="1" applyFill="1" applyBorder="1" applyAlignment="1">
      <alignment horizontal="justify"/>
    </xf>
    <xf numFmtId="3" fontId="16" fillId="0" borderId="0" xfId="15" applyNumberFormat="1" applyFont="1" applyBorder="1" applyAlignment="1">
      <alignment/>
    </xf>
    <xf numFmtId="3" fontId="14" fillId="0" borderId="0" xfId="15" applyNumberFormat="1" applyFont="1" applyBorder="1" applyAlignment="1" quotePrefix="1">
      <alignment/>
    </xf>
    <xf numFmtId="164" fontId="14" fillId="0" borderId="0" xfId="15" applyNumberFormat="1" applyFont="1" applyBorder="1" applyAlignment="1" quotePrefix="1">
      <alignment horizontal="right"/>
    </xf>
    <xf numFmtId="0" fontId="14" fillId="0" borderId="0" xfId="0" applyFont="1" applyFill="1" applyBorder="1" applyAlignment="1">
      <alignment/>
    </xf>
    <xf numFmtId="41" fontId="14" fillId="0" borderId="0" xfId="0" applyNumberFormat="1" applyFont="1" applyFill="1" applyBorder="1" applyAlignment="1">
      <alignment/>
    </xf>
    <xf numFmtId="0" fontId="21" fillId="0" borderId="0" xfId="0" applyFont="1" applyBorder="1" applyAlignment="1" quotePrefix="1">
      <alignment horizontal="left"/>
    </xf>
    <xf numFmtId="0" fontId="21" fillId="0" borderId="0" xfId="0" applyFont="1" applyBorder="1" applyAlignment="1">
      <alignment horizontal="left"/>
    </xf>
    <xf numFmtId="164" fontId="21" fillId="0" borderId="0" xfId="15" applyNumberFormat="1" applyFont="1" applyBorder="1" applyAlignment="1">
      <alignment horizontal="left"/>
    </xf>
    <xf numFmtId="164" fontId="21" fillId="0" borderId="0" xfId="15" applyNumberFormat="1" applyFont="1" applyBorder="1" applyAlignment="1">
      <alignment horizontal="justify"/>
    </xf>
    <xf numFmtId="164" fontId="14" fillId="0" borderId="0" xfId="15" applyNumberFormat="1" applyFont="1" applyFill="1" applyBorder="1" applyAlignment="1" quotePrefix="1">
      <alignment horizontal="right"/>
    </xf>
    <xf numFmtId="41" fontId="16" fillId="0" borderId="21" xfId="15" applyNumberFormat="1" applyFont="1" applyFill="1" applyBorder="1" applyAlignment="1">
      <alignment horizontal="right"/>
    </xf>
    <xf numFmtId="41" fontId="16" fillId="0" borderId="21" xfId="15" applyNumberFormat="1" applyFont="1" applyFill="1" applyBorder="1" applyAlignment="1">
      <alignment/>
    </xf>
    <xf numFmtId="3" fontId="16" fillId="0" borderId="0" xfId="15" applyNumberFormat="1" applyFont="1" applyFill="1" applyBorder="1" applyAlignment="1">
      <alignment/>
    </xf>
    <xf numFmtId="164" fontId="21" fillId="0" borderId="0" xfId="15" applyNumberFormat="1" applyFont="1" applyFill="1" applyBorder="1" applyAlignment="1">
      <alignment horizontal="left"/>
    </xf>
    <xf numFmtId="0" fontId="16" fillId="0" borderId="0" xfId="31" applyFont="1" applyFill="1" applyBorder="1" applyAlignment="1">
      <alignment horizontal="left"/>
      <protection/>
    </xf>
    <xf numFmtId="0" fontId="16" fillId="0" borderId="0" xfId="0" applyFont="1" applyFill="1" applyBorder="1" applyAlignment="1">
      <alignment horizontal="left"/>
    </xf>
    <xf numFmtId="41" fontId="16" fillId="0" borderId="11" xfId="15" applyNumberFormat="1" applyFont="1" applyFill="1" applyBorder="1" applyAlignment="1">
      <alignment horizontal="center" vertical="center" wrapText="1"/>
    </xf>
    <xf numFmtId="0" fontId="21" fillId="0" borderId="0" xfId="31" applyFont="1" applyFill="1" applyBorder="1" applyAlignment="1" quotePrefix="1">
      <alignment horizontal="left"/>
      <protection/>
    </xf>
    <xf numFmtId="164" fontId="21" fillId="0" borderId="0" xfId="15" applyNumberFormat="1" applyFont="1" applyFill="1" applyBorder="1" applyAlignment="1">
      <alignment/>
    </xf>
    <xf numFmtId="3" fontId="14" fillId="0" borderId="0" xfId="0" applyNumberFormat="1" applyFont="1" applyFill="1" applyBorder="1" applyAlignment="1">
      <alignment/>
    </xf>
    <xf numFmtId="0" fontId="21" fillId="0" borderId="0" xfId="31" applyFont="1" applyFill="1" applyBorder="1" applyAlignment="1" quotePrefix="1">
      <alignment horizontal="justify" vertical="center"/>
      <protection/>
    </xf>
    <xf numFmtId="41" fontId="21" fillId="0" borderId="0" xfId="0" applyNumberFormat="1" applyFont="1" applyFill="1" applyAlignment="1">
      <alignment/>
    </xf>
    <xf numFmtId="0" fontId="14" fillId="0" borderId="23" xfId="0" applyFont="1" applyFill="1" applyBorder="1" applyAlignment="1">
      <alignment/>
    </xf>
    <xf numFmtId="3" fontId="14" fillId="0" borderId="23" xfId="0" applyNumberFormat="1" applyFont="1" applyFill="1" applyBorder="1" applyAlignment="1">
      <alignment/>
    </xf>
    <xf numFmtId="164" fontId="14" fillId="0" borderId="23" xfId="15" applyNumberFormat="1" applyFont="1" applyFill="1" applyBorder="1" applyAlignment="1">
      <alignment/>
    </xf>
    <xf numFmtId="0" fontId="14" fillId="0" borderId="0" xfId="0" applyFont="1" applyFill="1" applyBorder="1" applyAlignment="1">
      <alignment horizontal="left" vertical="center"/>
    </xf>
    <xf numFmtId="164" fontId="14" fillId="0" borderId="0" xfId="0" applyNumberFormat="1" applyFont="1" applyFill="1" applyBorder="1" applyAlignment="1">
      <alignment horizontal="right" vertical="center"/>
    </xf>
    <xf numFmtId="41" fontId="14" fillId="0" borderId="0" xfId="0" applyNumberFormat="1" applyFont="1" applyFill="1" applyBorder="1" applyAlignment="1">
      <alignment horizontal="right"/>
    </xf>
    <xf numFmtId="0" fontId="16" fillId="0" borderId="0" xfId="0" applyFont="1" applyFill="1" applyBorder="1" applyAlignment="1">
      <alignment/>
    </xf>
    <xf numFmtId="0" fontId="16" fillId="0" borderId="0" xfId="0" applyFont="1" applyFill="1" applyBorder="1" applyAlignment="1">
      <alignment vertical="center"/>
    </xf>
    <xf numFmtId="0" fontId="32" fillId="0" borderId="7" xfId="0" applyFont="1" applyFill="1" applyBorder="1" applyAlignment="1">
      <alignment horizontal="left" vertical="center"/>
    </xf>
    <xf numFmtId="0" fontId="16" fillId="0" borderId="7" xfId="0" applyFont="1" applyFill="1" applyBorder="1" applyAlignment="1">
      <alignment horizontal="center" vertical="center"/>
    </xf>
    <xf numFmtId="0" fontId="14" fillId="0" borderId="0" xfId="0" applyFont="1" applyFill="1" applyBorder="1" applyAlignment="1" quotePrefix="1">
      <alignment horizontal="left" vertical="center"/>
    </xf>
    <xf numFmtId="41" fontId="14" fillId="0" borderId="0" xfId="15" applyNumberFormat="1" applyFont="1" applyFill="1" applyBorder="1" applyAlignment="1" quotePrefix="1">
      <alignment horizontal="right"/>
    </xf>
    <xf numFmtId="0" fontId="16" fillId="0" borderId="23" xfId="0" applyFont="1" applyFill="1" applyBorder="1" applyAlignment="1">
      <alignment horizontal="center" vertical="center"/>
    </xf>
    <xf numFmtId="3" fontId="16" fillId="0" borderId="23" xfId="15" applyNumberFormat="1" applyFont="1" applyFill="1" applyBorder="1" applyAlignment="1">
      <alignment/>
    </xf>
    <xf numFmtId="3" fontId="16" fillId="0" borderId="0" xfId="0" applyNumberFormat="1" applyFont="1" applyFill="1" applyBorder="1" applyAlignment="1">
      <alignment horizontal="right" vertical="center"/>
    </xf>
    <xf numFmtId="41" fontId="16" fillId="0" borderId="0" xfId="0" applyNumberFormat="1" applyFont="1" applyFill="1" applyBorder="1" applyAlignment="1">
      <alignment horizontal="right" vertical="center"/>
    </xf>
    <xf numFmtId="0" fontId="16" fillId="0" borderId="0" xfId="31" applyFont="1" applyFill="1" applyBorder="1" applyAlignment="1">
      <alignment horizontal="left" vertical="center"/>
      <protection/>
    </xf>
    <xf numFmtId="0" fontId="16" fillId="0" borderId="6" xfId="0" applyFont="1" applyFill="1" applyBorder="1" applyAlignment="1">
      <alignment horizontal="left" vertical="center"/>
    </xf>
    <xf numFmtId="0" fontId="17" fillId="0" borderId="6" xfId="0" applyFont="1" applyFill="1" applyBorder="1" applyAlignment="1">
      <alignment vertical="center"/>
    </xf>
    <xf numFmtId="41" fontId="16" fillId="0" borderId="6" xfId="15" applyNumberFormat="1" applyFont="1" applyFill="1" applyBorder="1" applyAlignment="1">
      <alignment horizontal="right" vertical="center"/>
    </xf>
    <xf numFmtId="0" fontId="16" fillId="0" borderId="0" xfId="31" applyFont="1" applyFill="1" applyBorder="1" applyAlignment="1">
      <alignment horizontal="left" vertical="top"/>
      <protection/>
    </xf>
    <xf numFmtId="0" fontId="16" fillId="0" borderId="0" xfId="0" applyFont="1" applyFill="1" applyBorder="1" applyAlignment="1">
      <alignment horizontal="left" vertical="center"/>
    </xf>
    <xf numFmtId="0" fontId="17" fillId="0" borderId="0" xfId="0" applyFont="1" applyFill="1" applyBorder="1" applyAlignment="1">
      <alignment vertical="center"/>
    </xf>
    <xf numFmtId="41" fontId="16" fillId="0" borderId="0" xfId="15" applyNumberFormat="1" applyFont="1" applyFill="1" applyBorder="1" applyAlignment="1">
      <alignment horizontal="right" vertical="center"/>
    </xf>
    <xf numFmtId="3" fontId="16" fillId="0" borderId="0" xfId="0" applyNumberFormat="1" applyFont="1" applyFill="1" applyBorder="1" applyAlignment="1">
      <alignment horizontal="right"/>
    </xf>
    <xf numFmtId="0" fontId="16" fillId="0" borderId="0" xfId="0" applyFont="1" applyFill="1" applyBorder="1" applyAlignment="1" quotePrefix="1">
      <alignment vertical="center"/>
    </xf>
    <xf numFmtId="0" fontId="21" fillId="0" borderId="0" xfId="0" applyFont="1" applyFill="1" applyBorder="1" applyAlignment="1" quotePrefix="1">
      <alignment horizontal="left" vertical="center"/>
    </xf>
    <xf numFmtId="0" fontId="21" fillId="0" borderId="0" xfId="0" applyFont="1" applyFill="1" applyBorder="1" applyAlignment="1">
      <alignment horizontal="left" vertical="center"/>
    </xf>
    <xf numFmtId="3" fontId="22" fillId="0" borderId="0" xfId="0" applyNumberFormat="1" applyFont="1" applyFill="1" applyBorder="1" applyAlignment="1">
      <alignment horizontal="right" vertical="center"/>
    </xf>
    <xf numFmtId="41" fontId="21" fillId="0" borderId="0" xfId="0" applyNumberFormat="1" applyFont="1" applyFill="1" applyBorder="1" applyAlignment="1">
      <alignment horizontal="right" vertical="center"/>
    </xf>
    <xf numFmtId="41" fontId="14" fillId="0" borderId="0" xfId="0" applyNumberFormat="1" applyFont="1" applyFill="1" applyBorder="1" applyAlignment="1">
      <alignment horizontal="right" vertical="center"/>
    </xf>
    <xf numFmtId="0" fontId="16" fillId="0" borderId="0" xfId="31" applyFont="1" applyFill="1" applyBorder="1" applyAlignment="1" quotePrefix="1">
      <alignment horizontal="left"/>
      <protection/>
    </xf>
    <xf numFmtId="0" fontId="14" fillId="0" borderId="14" xfId="0" applyNumberFormat="1" applyFont="1" applyFill="1" applyBorder="1" applyAlignment="1">
      <alignment horizontal="justify" vertical="center"/>
    </xf>
    <xf numFmtId="0" fontId="17" fillId="0" borderId="14" xfId="0" applyFont="1" applyFill="1" applyBorder="1" applyAlignment="1">
      <alignment horizontal="justify" vertical="center"/>
    </xf>
    <xf numFmtId="0" fontId="14" fillId="0" borderId="0" xfId="0" applyNumberFormat="1" applyFont="1" applyFill="1" applyBorder="1" applyAlignment="1">
      <alignment horizontal="justify" vertical="center"/>
    </xf>
    <xf numFmtId="0" fontId="17" fillId="0" borderId="0" xfId="0" applyFont="1" applyFill="1" applyBorder="1" applyAlignment="1">
      <alignment horizontal="justify" vertical="center"/>
    </xf>
    <xf numFmtId="0" fontId="14" fillId="0" borderId="7" xfId="0" applyFont="1" applyFill="1" applyBorder="1" applyAlignment="1">
      <alignment horizontal="left" vertical="center"/>
    </xf>
    <xf numFmtId="9" fontId="14" fillId="0" borderId="0" xfId="15" applyNumberFormat="1" applyFont="1" applyFill="1" applyBorder="1" applyAlignment="1">
      <alignment horizontal="right" vertical="center"/>
    </xf>
    <xf numFmtId="0" fontId="16" fillId="0" borderId="14" xfId="0" applyFont="1" applyFill="1" applyBorder="1" applyAlignment="1">
      <alignment horizontal="justify" vertical="top"/>
    </xf>
    <xf numFmtId="0" fontId="21" fillId="0" borderId="14" xfId="0" applyFont="1" applyFill="1" applyBorder="1" applyAlignment="1" quotePrefix="1">
      <alignment horizontal="left" vertical="center"/>
    </xf>
    <xf numFmtId="0" fontId="17" fillId="0" borderId="14" xfId="0" applyFont="1" applyBorder="1" applyAlignment="1">
      <alignment horizontal="justify" vertical="top"/>
    </xf>
    <xf numFmtId="9" fontId="21" fillId="0" borderId="14" xfId="15" applyNumberFormat="1" applyFont="1" applyFill="1" applyBorder="1" applyAlignment="1">
      <alignment horizontal="right" vertical="center"/>
    </xf>
    <xf numFmtId="0" fontId="16" fillId="0" borderId="0" xfId="0" applyFont="1" applyFill="1" applyBorder="1" applyAlignment="1">
      <alignment horizontal="justify" vertical="top"/>
    </xf>
    <xf numFmtId="0" fontId="17" fillId="0" borderId="0" xfId="0" applyFont="1" applyAlignment="1">
      <alignment horizontal="justify" vertical="top"/>
    </xf>
    <xf numFmtId="14" fontId="16" fillId="0" borderId="0" xfId="15" applyNumberFormat="1" applyFont="1" applyFill="1" applyBorder="1" applyAlignment="1">
      <alignment horizontal="right" vertical="top"/>
    </xf>
    <xf numFmtId="0" fontId="17" fillId="0" borderId="7" xfId="0" applyFont="1" applyBorder="1" applyAlignment="1">
      <alignment/>
    </xf>
    <xf numFmtId="0" fontId="21" fillId="0" borderId="0" xfId="0" applyFont="1" applyFill="1" applyBorder="1" applyAlignment="1" quotePrefix="1">
      <alignment horizontal="left"/>
    </xf>
    <xf numFmtId="0" fontId="31" fillId="0" borderId="0" xfId="0" applyFont="1" applyBorder="1" applyAlignment="1">
      <alignment wrapText="1"/>
    </xf>
    <xf numFmtId="0" fontId="31" fillId="0" borderId="0" xfId="0" applyFont="1" applyAlignment="1">
      <alignment wrapText="1"/>
    </xf>
    <xf numFmtId="41" fontId="21" fillId="0" borderId="0" xfId="0" applyNumberFormat="1" applyFont="1" applyFill="1" applyBorder="1" applyAlignment="1">
      <alignment horizontal="right"/>
    </xf>
    <xf numFmtId="0" fontId="21" fillId="0" borderId="0" xfId="0" applyFont="1" applyFill="1" applyBorder="1" applyAlignment="1">
      <alignment horizontal="left" wrapText="1"/>
    </xf>
    <xf numFmtId="41" fontId="21" fillId="0" borderId="0" xfId="0" applyNumberFormat="1" applyFont="1" applyFill="1" applyBorder="1" applyAlignment="1">
      <alignment horizontal="center" vertical="center"/>
    </xf>
    <xf numFmtId="0" fontId="14" fillId="0" borderId="0" xfId="0" applyFont="1" applyBorder="1" applyAlignment="1" quotePrefix="1">
      <alignment horizontal="left" vertical="center"/>
    </xf>
    <xf numFmtId="0" fontId="14" fillId="0" borderId="0" xfId="0" applyFont="1" applyBorder="1" applyAlignment="1">
      <alignment horizontal="left"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left" wrapText="1"/>
    </xf>
    <xf numFmtId="0" fontId="22" fillId="0" borderId="0" xfId="0" applyFont="1" applyFill="1" applyBorder="1" applyAlignment="1">
      <alignment horizontal="left" vertical="center"/>
    </xf>
    <xf numFmtId="0" fontId="16" fillId="0" borderId="0" xfId="0" applyFont="1" applyBorder="1" applyAlignment="1" quotePrefix="1">
      <alignment/>
    </xf>
    <xf numFmtId="41" fontId="14" fillId="0" borderId="0" xfId="0" applyNumberFormat="1" applyFont="1" applyBorder="1" applyAlignment="1">
      <alignment horizontal="right"/>
    </xf>
    <xf numFmtId="41" fontId="16" fillId="0" borderId="6" xfId="0" applyNumberFormat="1" applyFont="1" applyFill="1" applyBorder="1" applyAlignment="1">
      <alignment horizontal="right"/>
    </xf>
    <xf numFmtId="0" fontId="16" fillId="0" borderId="7" xfId="0" applyFont="1" applyBorder="1" applyAlignment="1">
      <alignment/>
    </xf>
    <xf numFmtId="0" fontId="14" fillId="0" borderId="14" xfId="0" applyFont="1" applyBorder="1" applyAlignment="1" quotePrefix="1">
      <alignment horizontal="left"/>
    </xf>
    <xf numFmtId="0" fontId="16" fillId="0" borderId="14" xfId="0" applyFont="1" applyBorder="1" applyAlignment="1">
      <alignment/>
    </xf>
    <xf numFmtId="0" fontId="14" fillId="0" borderId="14" xfId="0" applyFont="1" applyBorder="1" applyAlignment="1">
      <alignment horizontal="left"/>
    </xf>
    <xf numFmtId="164" fontId="16" fillId="0" borderId="6" xfId="15" applyNumberFormat="1" applyFont="1" applyBorder="1" applyAlignment="1">
      <alignment horizontal="left"/>
    </xf>
    <xf numFmtId="0" fontId="14" fillId="0" borderId="23" xfId="0" applyFont="1" applyBorder="1" applyAlignment="1" quotePrefix="1">
      <alignment horizontal="left"/>
    </xf>
    <xf numFmtId="0" fontId="16" fillId="0" borderId="23" xfId="0" applyFont="1" applyBorder="1" applyAlignment="1">
      <alignment/>
    </xf>
    <xf numFmtId="0" fontId="14" fillId="0" borderId="23" xfId="0" applyFont="1" applyBorder="1" applyAlignment="1">
      <alignment horizontal="left"/>
    </xf>
    <xf numFmtId="164" fontId="14" fillId="0" borderId="23" xfId="15" applyNumberFormat="1" applyFont="1" applyBorder="1" applyAlignment="1">
      <alignment horizontal="left"/>
    </xf>
    <xf numFmtId="0" fontId="16" fillId="0" borderId="14" xfId="0" applyFont="1" applyBorder="1" applyAlignment="1">
      <alignment horizontal="left"/>
    </xf>
    <xf numFmtId="41" fontId="14" fillId="0" borderId="14" xfId="0" applyNumberFormat="1" applyFont="1" applyBorder="1" applyAlignment="1">
      <alignment horizontal="right"/>
    </xf>
    <xf numFmtId="0" fontId="16" fillId="0" borderId="0" xfId="31" applyFont="1" applyBorder="1" applyAlignment="1" quotePrefix="1">
      <alignment horizontal="left"/>
      <protection/>
    </xf>
    <xf numFmtId="0" fontId="14" fillId="0" borderId="21" xfId="0" applyFont="1" applyBorder="1" applyAlignment="1">
      <alignment horizontal="left" vertical="center"/>
    </xf>
    <xf numFmtId="0" fontId="14" fillId="0" borderId="21" xfId="0" applyFont="1" applyBorder="1" applyAlignment="1" quotePrefix="1">
      <alignment horizontal="left" vertical="center"/>
    </xf>
    <xf numFmtId="164" fontId="16" fillId="0" borderId="21" xfId="15" applyNumberFormat="1" applyFont="1" applyBorder="1" applyAlignment="1">
      <alignment horizontal="right" vertical="center"/>
    </xf>
    <xf numFmtId="41" fontId="14" fillId="0" borderId="0" xfId="0" applyNumberFormat="1" applyFont="1" applyBorder="1" applyAlignment="1">
      <alignment horizontal="right" vertical="center"/>
    </xf>
    <xf numFmtId="41" fontId="14" fillId="0" borderId="0" xfId="15" applyNumberFormat="1" applyFont="1" applyFill="1" applyBorder="1" applyAlignment="1">
      <alignment horizontal="right"/>
    </xf>
    <xf numFmtId="41" fontId="26" fillId="0" borderId="0" xfId="15" applyNumberFormat="1" applyFont="1" applyBorder="1" applyAlignment="1" quotePrefix="1">
      <alignment horizontal="right"/>
    </xf>
    <xf numFmtId="41" fontId="14" fillId="0" borderId="0" xfId="15" applyNumberFormat="1" applyFont="1" applyBorder="1" applyAlignment="1" quotePrefix="1">
      <alignment horizontal="right"/>
    </xf>
    <xf numFmtId="41" fontId="16" fillId="0" borderId="21" xfId="0" applyNumberFormat="1" applyFont="1" applyBorder="1" applyAlignment="1">
      <alignment vertical="center"/>
    </xf>
    <xf numFmtId="0" fontId="14" fillId="0" borderId="21" xfId="0" applyFont="1" applyBorder="1" applyAlignment="1" quotePrefix="1">
      <alignment horizontal="left"/>
    </xf>
    <xf numFmtId="0" fontId="16" fillId="0" borderId="0" xfId="0" applyFont="1" applyBorder="1" applyAlignment="1" quotePrefix="1">
      <alignment horizontal="left" vertical="center"/>
    </xf>
    <xf numFmtId="0" fontId="16" fillId="0" borderId="6" xfId="0" applyFont="1" applyBorder="1" applyAlignment="1">
      <alignment horizontal="left" vertical="center"/>
    </xf>
    <xf numFmtId="3" fontId="16" fillId="0" borderId="6" xfId="15" applyNumberFormat="1" applyFont="1" applyBorder="1" applyAlignment="1">
      <alignment horizontal="justify" vertical="center"/>
    </xf>
    <xf numFmtId="0" fontId="16" fillId="0" borderId="0" xfId="0" applyFont="1" applyBorder="1" applyAlignment="1" quotePrefix="1">
      <alignment horizontal="left" vertical="top"/>
    </xf>
    <xf numFmtId="3" fontId="16" fillId="0" borderId="0" xfId="15" applyNumberFormat="1" applyFont="1" applyBorder="1" applyAlignment="1">
      <alignment horizontal="justify" vertical="top"/>
    </xf>
    <xf numFmtId="41" fontId="16" fillId="0" borderId="0" xfId="15" applyNumberFormat="1" applyFont="1" applyBorder="1" applyAlignment="1" quotePrefix="1">
      <alignment horizontal="right" vertical="top"/>
    </xf>
    <xf numFmtId="41" fontId="16" fillId="0" borderId="0" xfId="15" applyNumberFormat="1" applyFont="1" applyBorder="1" applyAlignment="1">
      <alignment horizontal="right" vertical="top"/>
    </xf>
    <xf numFmtId="41" fontId="16" fillId="0" borderId="0" xfId="15" applyNumberFormat="1" applyFont="1" applyBorder="1" applyAlignment="1" quotePrefix="1">
      <alignment horizontal="right" vertical="center"/>
    </xf>
    <xf numFmtId="3" fontId="14" fillId="0" borderId="0" xfId="15" applyNumberFormat="1" applyFont="1" applyBorder="1" applyAlignment="1" quotePrefix="1">
      <alignment horizontal="justify" vertical="center"/>
    </xf>
    <xf numFmtId="3" fontId="14" fillId="0" borderId="0" xfId="15" applyNumberFormat="1" applyFont="1" applyBorder="1" applyAlignment="1" quotePrefix="1">
      <alignment horizontal="left" vertical="center"/>
    </xf>
    <xf numFmtId="3" fontId="21" fillId="0" borderId="0" xfId="15" applyNumberFormat="1" applyFont="1" applyBorder="1" applyAlignment="1" quotePrefix="1">
      <alignment horizontal="left" vertical="center"/>
    </xf>
    <xf numFmtId="41" fontId="21" fillId="0" borderId="0" xfId="15" applyNumberFormat="1" applyFont="1" applyBorder="1" applyAlignment="1" quotePrefix="1">
      <alignment horizontal="right"/>
    </xf>
    <xf numFmtId="3" fontId="21" fillId="0" borderId="0" xfId="15" applyNumberFormat="1" applyFont="1" applyBorder="1" applyAlignment="1" quotePrefix="1">
      <alignment horizontal="justify" vertical="center"/>
    </xf>
    <xf numFmtId="0" fontId="17" fillId="0" borderId="0" xfId="0" applyFont="1" applyAlignment="1">
      <alignment horizontal="justify" vertical="center"/>
    </xf>
    <xf numFmtId="41" fontId="16" fillId="0" borderId="0" xfId="15" applyNumberFormat="1" applyFont="1" applyBorder="1" applyAlignment="1" quotePrefix="1">
      <alignment horizontal="right"/>
    </xf>
    <xf numFmtId="0" fontId="14" fillId="0" borderId="14" xfId="0" applyFont="1" applyFill="1" applyBorder="1" applyAlignment="1">
      <alignment horizontal="justify"/>
    </xf>
    <xf numFmtId="41" fontId="14" fillId="0" borderId="0" xfId="0" applyNumberFormat="1" applyFont="1" applyBorder="1" applyAlignment="1">
      <alignment horizontal="left" vertical="center"/>
    </xf>
    <xf numFmtId="0" fontId="21" fillId="0" borderId="0" xfId="0" applyFont="1" applyBorder="1" applyAlignment="1">
      <alignment horizontal="left" vertical="center"/>
    </xf>
    <xf numFmtId="0" fontId="22" fillId="0" borderId="0" xfId="0" applyFont="1" applyBorder="1" applyAlignment="1">
      <alignment/>
    </xf>
    <xf numFmtId="0" fontId="21" fillId="0" borderId="0" xfId="0" applyFont="1" applyBorder="1" applyAlignment="1" quotePrefix="1">
      <alignment horizontal="left" vertical="center"/>
    </xf>
    <xf numFmtId="41" fontId="21" fillId="0" borderId="0" xfId="0" applyNumberFormat="1" applyFont="1" applyBorder="1" applyAlignment="1">
      <alignment horizontal="right" vertical="center"/>
    </xf>
    <xf numFmtId="41" fontId="21" fillId="0" borderId="0" xfId="0" applyNumberFormat="1" applyFont="1" applyAlignment="1">
      <alignment horizontal="center"/>
    </xf>
    <xf numFmtId="41" fontId="16" fillId="0" borderId="0" xfId="0" applyNumberFormat="1" applyFont="1" applyAlignment="1">
      <alignment horizontal="center"/>
    </xf>
    <xf numFmtId="164" fontId="14" fillId="0" borderId="3" xfId="15" applyNumberFormat="1" applyFont="1" applyBorder="1" applyAlignment="1">
      <alignment horizontal="justify" wrapText="1"/>
    </xf>
    <xf numFmtId="37" fontId="14" fillId="0" borderId="5" xfId="15" applyNumberFormat="1" applyFont="1" applyBorder="1" applyAlignment="1">
      <alignment/>
    </xf>
    <xf numFmtId="164" fontId="16" fillId="0" borderId="0" xfId="27" applyNumberFormat="1" applyFont="1" applyAlignment="1">
      <alignment/>
      <protection/>
    </xf>
    <xf numFmtId="164" fontId="16" fillId="0" borderId="0" xfId="27" applyNumberFormat="1" applyFont="1" applyAlignment="1">
      <alignment horizontal="center"/>
      <protection/>
    </xf>
    <xf numFmtId="164" fontId="14" fillId="0" borderId="0" xfId="27" applyNumberFormat="1" applyFont="1" applyAlignment="1">
      <alignment/>
      <protection/>
    </xf>
    <xf numFmtId="164" fontId="16" fillId="0" borderId="0" xfId="15" applyNumberFormat="1" applyFont="1" applyAlignment="1">
      <alignment horizontal="center"/>
    </xf>
    <xf numFmtId="164" fontId="16" fillId="0" borderId="7" xfId="15" applyNumberFormat="1" applyFont="1" applyBorder="1" applyAlignment="1">
      <alignment horizontal="center"/>
    </xf>
    <xf numFmtId="37" fontId="14" fillId="0" borderId="3" xfId="15" applyNumberFormat="1" applyFont="1" applyBorder="1" applyAlignment="1">
      <alignment/>
    </xf>
    <xf numFmtId="37" fontId="14" fillId="0" borderId="4" xfId="15" applyNumberFormat="1" applyFont="1" applyBorder="1" applyAlignment="1">
      <alignment/>
    </xf>
    <xf numFmtId="37" fontId="17" fillId="0" borderId="0" xfId="0" applyNumberFormat="1" applyFont="1" applyAlignment="1">
      <alignment/>
    </xf>
    <xf numFmtId="164" fontId="14" fillId="0" borderId="5" xfId="15" applyNumberFormat="1" applyFont="1" applyBorder="1" applyAlignment="1">
      <alignment/>
    </xf>
    <xf numFmtId="164" fontId="14" fillId="0" borderId="5" xfId="15" applyNumberFormat="1" applyFont="1" applyBorder="1" applyAlignment="1">
      <alignment horizontal="justify" wrapText="1"/>
    </xf>
    <xf numFmtId="164" fontId="14" fillId="0" borderId="4" xfId="15" applyNumberFormat="1" applyFont="1" applyBorder="1" applyAlignment="1">
      <alignment wrapText="1"/>
    </xf>
    <xf numFmtId="164" fontId="16" fillId="0" borderId="16" xfId="15" applyNumberFormat="1" applyFont="1" applyBorder="1" applyAlignment="1">
      <alignment horizontal="left"/>
    </xf>
    <xf numFmtId="37" fontId="16" fillId="0" borderId="2" xfId="15" applyNumberFormat="1" applyFont="1" applyBorder="1" applyAlignment="1">
      <alignment/>
    </xf>
    <xf numFmtId="164" fontId="24" fillId="0" borderId="0" xfId="15" applyNumberFormat="1" applyFont="1" applyAlignment="1">
      <alignment/>
    </xf>
    <xf numFmtId="164" fontId="14" fillId="0" borderId="0" xfId="15" applyNumberFormat="1" applyFont="1" applyBorder="1" applyAlignment="1">
      <alignment horizontal="center" vertical="center"/>
    </xf>
    <xf numFmtId="164" fontId="16" fillId="0" borderId="0" xfId="15" applyNumberFormat="1" applyFont="1" applyBorder="1" applyAlignment="1">
      <alignment horizontal="right" vertical="center"/>
    </xf>
    <xf numFmtId="164" fontId="16" fillId="0" borderId="23" xfId="27" applyNumberFormat="1" applyFont="1" applyBorder="1" applyAlignment="1">
      <alignment horizontal="center" vertical="center"/>
      <protection/>
    </xf>
    <xf numFmtId="0" fontId="16" fillId="0" borderId="23" xfId="27" applyNumberFormat="1" applyFont="1" applyBorder="1" applyAlignment="1">
      <alignment horizontal="center" vertical="center"/>
      <protection/>
    </xf>
    <xf numFmtId="164" fontId="16" fillId="0" borderId="23" xfId="15" applyNumberFormat="1" applyFont="1" applyBorder="1" applyAlignment="1">
      <alignment horizontal="center" vertical="center"/>
    </xf>
    <xf numFmtId="164" fontId="16" fillId="0" borderId="23" xfId="15" applyNumberFormat="1" applyFont="1" applyBorder="1" applyAlignment="1">
      <alignment vertical="center"/>
    </xf>
    <xf numFmtId="14" fontId="16" fillId="0" borderId="0" xfId="15" applyNumberFormat="1" applyFont="1" applyBorder="1" applyAlignment="1" quotePrefix="1">
      <alignment horizontal="right"/>
    </xf>
    <xf numFmtId="164" fontId="16" fillId="0" borderId="0" xfId="15" applyNumberFormat="1" applyFont="1" applyFill="1" applyBorder="1" applyAlignment="1">
      <alignment/>
    </xf>
    <xf numFmtId="3" fontId="16" fillId="0" borderId="0" xfId="0" applyNumberFormat="1" applyFont="1" applyFill="1" applyBorder="1" applyAlignment="1">
      <alignment/>
    </xf>
    <xf numFmtId="164" fontId="14" fillId="0" borderId="7" xfId="15" applyNumberFormat="1" applyFont="1" applyBorder="1" applyAlignment="1">
      <alignment horizontal="right"/>
    </xf>
    <xf numFmtId="41" fontId="21" fillId="0" borderId="0" xfId="0" applyNumberFormat="1" applyFont="1" applyBorder="1" applyAlignment="1">
      <alignment horizontal="center" vertical="center"/>
    </xf>
    <xf numFmtId="37" fontId="14" fillId="0" borderId="0" xfId="0" applyNumberFormat="1" applyFont="1" applyBorder="1" applyAlignment="1">
      <alignment horizontal="center"/>
    </xf>
    <xf numFmtId="37" fontId="16" fillId="0" borderId="0" xfId="0" applyNumberFormat="1" applyFont="1" applyBorder="1" applyAlignment="1">
      <alignment horizontal="left"/>
    </xf>
    <xf numFmtId="37" fontId="15" fillId="0" borderId="0" xfId="29" applyNumberFormat="1" applyFont="1" applyBorder="1" applyAlignment="1">
      <alignment horizontal="center"/>
      <protection/>
    </xf>
    <xf numFmtId="37" fontId="35" fillId="0" borderId="0" xfId="29" applyNumberFormat="1" applyFont="1" applyAlignment="1">
      <alignment horizontal="center"/>
      <protection/>
    </xf>
    <xf numFmtId="37" fontId="14" fillId="0" borderId="0" xfId="0" applyNumberFormat="1" applyFont="1" applyAlignment="1">
      <alignment horizontal="right"/>
    </xf>
    <xf numFmtId="37" fontId="16" fillId="0" borderId="0" xfId="0" applyNumberFormat="1" applyFont="1" applyAlignment="1">
      <alignment horizontal="right"/>
    </xf>
    <xf numFmtId="37" fontId="23" fillId="0" borderId="0" xfId="0" applyNumberFormat="1" applyFont="1" applyAlignment="1">
      <alignment horizontal="left"/>
    </xf>
    <xf numFmtId="37" fontId="23" fillId="0" borderId="0" xfId="0" applyNumberFormat="1" applyFont="1" applyBorder="1" applyAlignment="1">
      <alignment horizontal="left"/>
    </xf>
    <xf numFmtId="0" fontId="23" fillId="0" borderId="0" xfId="0" applyNumberFormat="1" applyFont="1" applyAlignment="1">
      <alignment horizontal="center"/>
    </xf>
    <xf numFmtId="37" fontId="23" fillId="0" borderId="0" xfId="0" applyNumberFormat="1" applyFont="1" applyBorder="1" applyAlignment="1">
      <alignment horizontal="center"/>
    </xf>
    <xf numFmtId="37" fontId="36" fillId="0" borderId="0" xfId="0" applyNumberFormat="1" applyFont="1" applyAlignment="1">
      <alignment horizontal="center"/>
    </xf>
    <xf numFmtId="37" fontId="36" fillId="0" borderId="0" xfId="0" applyNumberFormat="1" applyFont="1" applyAlignment="1">
      <alignment horizontal="right"/>
    </xf>
    <xf numFmtId="0" fontId="14" fillId="0" borderId="6" xfId="30" applyNumberFormat="1" applyFont="1" applyBorder="1" applyAlignment="1">
      <alignment horizontal="center"/>
      <protection/>
    </xf>
    <xf numFmtId="37" fontId="16" fillId="0" borderId="6" xfId="30" applyNumberFormat="1" applyFont="1" applyBorder="1" applyAlignment="1">
      <alignment horizontal="center"/>
      <protection/>
    </xf>
    <xf numFmtId="37" fontId="14" fillId="0" borderId="6" xfId="30" applyNumberFormat="1" applyFont="1" applyBorder="1" applyAlignment="1">
      <alignment horizontal="center"/>
      <protection/>
    </xf>
    <xf numFmtId="37" fontId="14" fillId="0" borderId="6" xfId="0" applyNumberFormat="1" applyFont="1" applyBorder="1" applyAlignment="1">
      <alignment horizontal="right"/>
    </xf>
    <xf numFmtId="37" fontId="16" fillId="0" borderId="6" xfId="0" applyNumberFormat="1" applyFont="1" applyBorder="1" applyAlignment="1">
      <alignment horizontal="right"/>
    </xf>
    <xf numFmtId="37" fontId="14" fillId="0" borderId="11" xfId="0" applyNumberFormat="1" applyFont="1" applyBorder="1" applyAlignment="1">
      <alignment/>
    </xf>
    <xf numFmtId="0" fontId="14" fillId="0" borderId="11" xfId="0" applyNumberFormat="1" applyFont="1" applyBorder="1" applyAlignment="1">
      <alignment horizontal="center"/>
    </xf>
    <xf numFmtId="37" fontId="14" fillId="0" borderId="7" xfId="0" applyNumberFormat="1" applyFont="1" applyBorder="1" applyAlignment="1">
      <alignment/>
    </xf>
    <xf numFmtId="37" fontId="16" fillId="0" borderId="11" xfId="0" applyNumberFormat="1" applyFont="1" applyFill="1" applyBorder="1" applyAlignment="1">
      <alignment horizontal="center" vertical="center" wrapText="1"/>
    </xf>
    <xf numFmtId="37" fontId="16" fillId="0" borderId="11"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wrapText="1"/>
    </xf>
    <xf numFmtId="37" fontId="16" fillId="0" borderId="7" xfId="0" applyNumberFormat="1" applyFont="1" applyFill="1" applyBorder="1" applyAlignment="1">
      <alignment horizontal="left" wrapText="1"/>
    </xf>
    <xf numFmtId="37" fontId="16" fillId="0" borderId="7" xfId="0" applyNumberFormat="1" applyFont="1" applyFill="1" applyBorder="1" applyAlignment="1">
      <alignment horizontal="center"/>
    </xf>
    <xf numFmtId="0" fontId="16" fillId="0" borderId="7" xfId="0" applyNumberFormat="1" applyFont="1" applyFill="1" applyBorder="1" applyAlignment="1">
      <alignment horizontal="center" wrapText="1"/>
    </xf>
    <xf numFmtId="37" fontId="16" fillId="0" borderId="7" xfId="0" applyNumberFormat="1" applyFont="1" applyFill="1" applyBorder="1" applyAlignment="1">
      <alignment horizontal="center" wrapText="1"/>
    </xf>
    <xf numFmtId="37" fontId="16" fillId="0" borderId="7" xfId="0" applyNumberFormat="1" applyFont="1" applyFill="1" applyBorder="1" applyAlignment="1">
      <alignment horizontal="right" wrapText="1"/>
    </xf>
    <xf numFmtId="37" fontId="16" fillId="0" borderId="10" xfId="0" applyNumberFormat="1" applyFont="1" applyBorder="1" applyAlignment="1">
      <alignment horizontal="left"/>
    </xf>
    <xf numFmtId="0" fontId="16" fillId="0" borderId="10" xfId="0" applyNumberFormat="1" applyFont="1" applyBorder="1" applyAlignment="1">
      <alignment horizontal="center"/>
    </xf>
    <xf numFmtId="37" fontId="16" fillId="0" borderId="0" xfId="0" applyNumberFormat="1" applyFont="1" applyBorder="1" applyAlignment="1" quotePrefix="1">
      <alignment horizontal="center"/>
    </xf>
    <xf numFmtId="37" fontId="16" fillId="0" borderId="10" xfId="0" applyNumberFormat="1" applyFont="1" applyBorder="1" applyAlignment="1">
      <alignment horizontal="right"/>
    </xf>
    <xf numFmtId="37" fontId="16" fillId="0" borderId="10" xfId="0" applyNumberFormat="1" applyFont="1" applyBorder="1" applyAlignment="1">
      <alignment/>
    </xf>
    <xf numFmtId="37" fontId="14" fillId="0" borderId="0" xfId="0" applyNumberFormat="1" applyFont="1" applyBorder="1" applyAlignment="1">
      <alignment/>
    </xf>
    <xf numFmtId="37" fontId="14" fillId="0" borderId="0" xfId="0" applyNumberFormat="1" applyFont="1" applyBorder="1" applyAlignment="1" quotePrefix="1">
      <alignment horizontal="left" indent="1"/>
    </xf>
    <xf numFmtId="37" fontId="14" fillId="0" borderId="0" xfId="0" applyNumberFormat="1" applyFont="1" applyBorder="1" applyAlignment="1" quotePrefix="1">
      <alignment horizontal="left"/>
    </xf>
    <xf numFmtId="0" fontId="14" fillId="0" borderId="0" xfId="0" applyNumberFormat="1" applyFont="1" applyBorder="1" applyAlignment="1" quotePrefix="1">
      <alignment horizontal="center"/>
    </xf>
    <xf numFmtId="37" fontId="14" fillId="0" borderId="0" xfId="0" applyNumberFormat="1" applyFont="1" applyBorder="1" applyAlignment="1">
      <alignment/>
    </xf>
    <xf numFmtId="37" fontId="14" fillId="0" borderId="0" xfId="15" applyNumberFormat="1" applyFont="1" applyBorder="1" applyAlignment="1">
      <alignment/>
    </xf>
    <xf numFmtId="37" fontId="16" fillId="0" borderId="10" xfId="0" applyNumberFormat="1" applyFont="1" applyBorder="1" applyAlignment="1">
      <alignment horizontal="left" wrapText="1"/>
    </xf>
    <xf numFmtId="37" fontId="16" fillId="0" borderId="0" xfId="0" applyNumberFormat="1" applyFont="1" applyBorder="1" applyAlignment="1">
      <alignment horizontal="left" wrapText="1"/>
    </xf>
    <xf numFmtId="0" fontId="16" fillId="0" borderId="10" xfId="0" applyNumberFormat="1" applyFont="1" applyBorder="1" applyAlignment="1" quotePrefix="1">
      <alignment horizontal="center" wrapText="1"/>
    </xf>
    <xf numFmtId="37" fontId="16" fillId="0" borderId="0" xfId="0" applyNumberFormat="1" applyFont="1" applyBorder="1" applyAlignment="1" quotePrefix="1">
      <alignment horizontal="center" wrapText="1"/>
    </xf>
    <xf numFmtId="37" fontId="16" fillId="0" borderId="10" xfId="0" applyNumberFormat="1" applyFont="1" applyBorder="1" applyAlignment="1" quotePrefix="1">
      <alignment horizontal="center" wrapText="1"/>
    </xf>
    <xf numFmtId="37" fontId="14" fillId="0" borderId="0" xfId="0" applyNumberFormat="1" applyFont="1" applyBorder="1" applyAlignment="1">
      <alignment wrapText="1"/>
    </xf>
    <xf numFmtId="37" fontId="16" fillId="0" borderId="10" xfId="0" applyNumberFormat="1" applyFont="1" applyBorder="1" applyAlignment="1" quotePrefix="1">
      <alignment horizontal="right" wrapText="1"/>
    </xf>
    <xf numFmtId="37" fontId="16" fillId="0" borderId="0" xfId="0" applyNumberFormat="1" applyFont="1" applyBorder="1" applyAlignment="1">
      <alignment horizontal="right" wrapText="1"/>
    </xf>
    <xf numFmtId="37" fontId="16" fillId="0" borderId="0" xfId="0" applyNumberFormat="1" applyFont="1" applyBorder="1" applyAlignment="1">
      <alignment horizontal="center"/>
    </xf>
    <xf numFmtId="0" fontId="14" fillId="0" borderId="0" xfId="0" applyNumberFormat="1" applyFont="1" applyBorder="1" applyAlignment="1" quotePrefix="1">
      <alignment horizontal="center" wrapText="1"/>
    </xf>
    <xf numFmtId="37" fontId="16" fillId="0" borderId="22" xfId="0" applyNumberFormat="1" applyFont="1" applyBorder="1" applyAlignment="1">
      <alignment horizontal="left"/>
    </xf>
    <xf numFmtId="0" fontId="16" fillId="0" borderId="22" xfId="0" applyNumberFormat="1" applyFont="1" applyBorder="1" applyAlignment="1" quotePrefix="1">
      <alignment horizontal="center"/>
    </xf>
    <xf numFmtId="37" fontId="16" fillId="0" borderId="0" xfId="0" applyNumberFormat="1" applyFont="1" applyFill="1" applyBorder="1" applyAlignment="1">
      <alignment horizontal="center"/>
    </xf>
    <xf numFmtId="37" fontId="16" fillId="0" borderId="22" xfId="0" applyNumberFormat="1" applyFont="1" applyBorder="1" applyAlignment="1">
      <alignment/>
    </xf>
    <xf numFmtId="37" fontId="14" fillId="0" borderId="0" xfId="0" applyNumberFormat="1" applyFont="1" applyBorder="1" applyAlignment="1">
      <alignment vertical="center"/>
    </xf>
    <xf numFmtId="37" fontId="16" fillId="0" borderId="6" xfId="0" applyNumberFormat="1" applyFont="1" applyBorder="1" applyAlignment="1">
      <alignment/>
    </xf>
    <xf numFmtId="37" fontId="16" fillId="0" borderId="0" xfId="0" applyNumberFormat="1" applyFont="1" applyFill="1" applyBorder="1" applyAlignment="1">
      <alignment/>
    </xf>
    <xf numFmtId="37" fontId="14" fillId="0" borderId="0" xfId="0" applyNumberFormat="1" applyFont="1" applyFill="1" applyBorder="1" applyAlignment="1">
      <alignment/>
    </xf>
    <xf numFmtId="37" fontId="14" fillId="0" borderId="0" xfId="0" applyNumberFormat="1" applyFont="1" applyBorder="1" applyAlignment="1">
      <alignment horizontal="left"/>
    </xf>
    <xf numFmtId="37" fontId="14" fillId="0" borderId="0" xfId="0" applyNumberFormat="1" applyFont="1" applyBorder="1" applyAlignment="1" quotePrefix="1">
      <alignment horizontal="center"/>
    </xf>
    <xf numFmtId="37" fontId="14" fillId="0" borderId="0" xfId="0" applyNumberFormat="1" applyFont="1" applyBorder="1" applyAlignment="1">
      <alignment horizontal="right"/>
    </xf>
    <xf numFmtId="0" fontId="14" fillId="0" borderId="6" xfId="0" applyNumberFormat="1" applyFont="1" applyFill="1" applyBorder="1" applyAlignment="1">
      <alignment horizontal="center"/>
    </xf>
    <xf numFmtId="37" fontId="16" fillId="0" borderId="11" xfId="0" applyNumberFormat="1" applyFont="1" applyBorder="1" applyAlignment="1">
      <alignment horizontal="left"/>
    </xf>
    <xf numFmtId="0" fontId="16" fillId="0" borderId="11" xfId="0" applyNumberFormat="1" applyFont="1" applyBorder="1" applyAlignment="1">
      <alignment horizontal="center"/>
    </xf>
    <xf numFmtId="37" fontId="16" fillId="0" borderId="11" xfId="0" applyNumberFormat="1" applyFont="1" applyBorder="1" applyAlignment="1">
      <alignment horizontal="right"/>
    </xf>
    <xf numFmtId="37" fontId="16" fillId="0" borderId="11" xfId="0" applyNumberFormat="1" applyFont="1" applyBorder="1" applyAlignment="1">
      <alignment/>
    </xf>
    <xf numFmtId="37" fontId="16" fillId="0" borderId="11" xfId="0" applyNumberFormat="1" applyFont="1" applyBorder="1" applyAlignment="1">
      <alignment horizontal="center"/>
    </xf>
    <xf numFmtId="37" fontId="14" fillId="0" borderId="11" xfId="0" applyNumberFormat="1" applyFont="1" applyBorder="1" applyAlignment="1">
      <alignment horizontal="right"/>
    </xf>
    <xf numFmtId="37" fontId="14" fillId="0" borderId="11" xfId="0" applyNumberFormat="1" applyFont="1" applyBorder="1" applyAlignment="1">
      <alignment/>
    </xf>
    <xf numFmtId="0" fontId="14" fillId="0" borderId="0" xfId="0" applyNumberFormat="1" applyFont="1" applyBorder="1" applyAlignment="1">
      <alignment horizontal="center" wrapText="1"/>
    </xf>
    <xf numFmtId="0" fontId="16" fillId="0" borderId="11" xfId="15" applyNumberFormat="1" applyFont="1" applyBorder="1" applyAlignment="1" quotePrefix="1">
      <alignment horizontal="center"/>
    </xf>
    <xf numFmtId="37" fontId="16" fillId="0" borderId="11" xfId="15" applyNumberFormat="1" applyFont="1" applyBorder="1" applyAlignment="1">
      <alignment horizontal="right"/>
    </xf>
    <xf numFmtId="37" fontId="37" fillId="0" borderId="0" xfId="0" applyNumberFormat="1" applyFont="1" applyBorder="1" applyAlignment="1">
      <alignment/>
    </xf>
    <xf numFmtId="37" fontId="16" fillId="0" borderId="6" xfId="15" applyNumberFormat="1" applyFont="1" applyBorder="1" applyAlignment="1">
      <alignment/>
    </xf>
    <xf numFmtId="37" fontId="14" fillId="0" borderId="6" xfId="0" applyNumberFormat="1" applyFont="1" applyBorder="1" applyAlignment="1">
      <alignment horizontal="left"/>
    </xf>
    <xf numFmtId="37" fontId="14" fillId="0" borderId="6" xfId="15" applyNumberFormat="1" applyFont="1" applyBorder="1" applyAlignment="1">
      <alignment/>
    </xf>
    <xf numFmtId="37" fontId="16" fillId="0" borderId="14" xfId="0" applyNumberFormat="1" applyFont="1" applyBorder="1" applyAlignment="1">
      <alignment horizontal="left"/>
    </xf>
    <xf numFmtId="0" fontId="16" fillId="0" borderId="14" xfId="0" applyNumberFormat="1" applyFont="1" applyBorder="1" applyAlignment="1">
      <alignment horizontal="center"/>
    </xf>
    <xf numFmtId="37" fontId="16" fillId="0" borderId="14" xfId="0" applyNumberFormat="1" applyFont="1" applyBorder="1" applyAlignment="1">
      <alignment horizontal="center"/>
    </xf>
    <xf numFmtId="37" fontId="16" fillId="0" borderId="14" xfId="0" applyNumberFormat="1" applyFont="1" applyBorder="1" applyAlignment="1">
      <alignment/>
    </xf>
    <xf numFmtId="37" fontId="14" fillId="0" borderId="14" xfId="0" applyNumberFormat="1" applyFont="1" applyBorder="1" applyAlignment="1">
      <alignment/>
    </xf>
    <xf numFmtId="37" fontId="16" fillId="0" borderId="14" xfId="15" applyNumberFormat="1" applyFont="1" applyBorder="1" applyAlignment="1">
      <alignment/>
    </xf>
    <xf numFmtId="37" fontId="16" fillId="0" borderId="0" xfId="27" applyNumberFormat="1" applyFont="1" applyBorder="1" applyAlignment="1">
      <alignment horizontal="left" vertical="center" indent="2"/>
      <protection/>
    </xf>
    <xf numFmtId="37" fontId="14" fillId="0" borderId="0" xfId="27" applyNumberFormat="1" applyFont="1">
      <alignment/>
      <protection/>
    </xf>
    <xf numFmtId="37" fontId="13" fillId="0" borderId="0" xfId="27" applyNumberFormat="1" applyFont="1" applyBorder="1" applyAlignment="1">
      <alignment horizontal="left" vertical="center" indent="2"/>
      <protection/>
    </xf>
    <xf numFmtId="0" fontId="18" fillId="0" borderId="0" xfId="0" applyNumberFormat="1" applyFont="1" applyBorder="1" applyAlignment="1">
      <alignment horizontal="center"/>
    </xf>
    <xf numFmtId="37" fontId="18" fillId="0" borderId="0" xfId="27" applyNumberFormat="1" applyFont="1">
      <alignment/>
      <protection/>
    </xf>
    <xf numFmtId="37" fontId="13" fillId="0" borderId="0" xfId="27" applyNumberFormat="1" applyFont="1" applyBorder="1">
      <alignment/>
      <protection/>
    </xf>
    <xf numFmtId="49" fontId="16" fillId="0" borderId="11" xfId="0" applyNumberFormat="1" applyFont="1" applyFill="1" applyBorder="1" applyAlignment="1">
      <alignment horizontal="center" vertical="center" wrapText="1"/>
    </xf>
    <xf numFmtId="49" fontId="16" fillId="0" borderId="8" xfId="15" applyNumberFormat="1" applyFont="1" applyFill="1" applyBorder="1" applyAlignment="1">
      <alignment horizontal="center" vertical="center"/>
    </xf>
    <xf numFmtId="49" fontId="16" fillId="0" borderId="11" xfId="15" applyNumberFormat="1" applyFont="1" applyFill="1" applyBorder="1" applyAlignment="1">
      <alignment horizontal="right" vertical="center"/>
    </xf>
    <xf numFmtId="164" fontId="14" fillId="0" borderId="24" xfId="15" applyNumberFormat="1" applyFont="1" applyBorder="1" applyAlignment="1">
      <alignment vertical="center"/>
    </xf>
    <xf numFmtId="43" fontId="16" fillId="0" borderId="25" xfId="15" applyFont="1" applyFill="1" applyBorder="1" applyAlignment="1">
      <alignment horizontal="center" vertical="center" wrapText="1"/>
    </xf>
    <xf numFmtId="37" fontId="16" fillId="0" borderId="26" xfId="28" applyNumberFormat="1" applyFont="1" applyFill="1" applyBorder="1" applyAlignment="1">
      <alignment horizontal="center" vertical="center"/>
      <protection/>
    </xf>
    <xf numFmtId="37" fontId="16" fillId="0" borderId="27" xfId="28" applyNumberFormat="1" applyFont="1" applyBorder="1" applyAlignment="1">
      <alignment horizontal="left"/>
      <protection/>
    </xf>
    <xf numFmtId="37" fontId="16" fillId="0" borderId="28" xfId="28" applyNumberFormat="1" applyFont="1" applyBorder="1" applyAlignment="1" quotePrefix="1">
      <alignment horizontal="center"/>
      <protection/>
    </xf>
    <xf numFmtId="37" fontId="14" fillId="0" borderId="29" xfId="28" applyNumberFormat="1" applyFont="1" applyBorder="1" applyAlignment="1">
      <alignment horizontal="center"/>
      <protection/>
    </xf>
    <xf numFmtId="37" fontId="16" fillId="0" borderId="28" xfId="28" applyNumberFormat="1" applyFont="1" applyBorder="1" applyAlignment="1" quotePrefix="1">
      <alignment horizontal="right"/>
      <protection/>
    </xf>
    <xf numFmtId="37" fontId="14" fillId="0" borderId="30" xfId="28" applyNumberFormat="1" applyFont="1" applyBorder="1" applyAlignment="1">
      <alignment horizontal="left"/>
      <protection/>
    </xf>
    <xf numFmtId="37" fontId="14" fillId="0" borderId="31" xfId="28" applyNumberFormat="1" applyFont="1" applyBorder="1" applyAlignment="1" quotePrefix="1">
      <alignment horizontal="center"/>
      <protection/>
    </xf>
    <xf numFmtId="37" fontId="14" fillId="0" borderId="5" xfId="28" applyNumberFormat="1" applyFont="1" applyBorder="1" applyAlignment="1">
      <alignment horizontal="center"/>
      <protection/>
    </xf>
    <xf numFmtId="164" fontId="14" fillId="0" borderId="31" xfId="15" applyNumberFormat="1" applyFont="1" applyBorder="1" applyAlignment="1">
      <alignment horizontal="right"/>
    </xf>
    <xf numFmtId="37" fontId="14" fillId="0" borderId="31" xfId="28" applyNumberFormat="1" applyFont="1" applyBorder="1" applyAlignment="1" quotePrefix="1">
      <alignment horizontal="right"/>
      <protection/>
    </xf>
    <xf numFmtId="37" fontId="16" fillId="0" borderId="32" xfId="28" applyNumberFormat="1" applyFont="1" applyBorder="1" applyAlignment="1">
      <alignment horizontal="left"/>
      <protection/>
    </xf>
    <xf numFmtId="37" fontId="16" fillId="0" borderId="33" xfId="28" applyNumberFormat="1" applyFont="1" applyBorder="1" applyAlignment="1" quotePrefix="1">
      <alignment horizontal="center"/>
      <protection/>
    </xf>
    <xf numFmtId="164" fontId="16" fillId="0" borderId="33" xfId="15" applyNumberFormat="1" applyFont="1" applyBorder="1" applyAlignment="1">
      <alignment horizontal="right"/>
    </xf>
    <xf numFmtId="164" fontId="16" fillId="0" borderId="31" xfId="15" applyNumberFormat="1" applyFont="1" applyBorder="1" applyAlignment="1">
      <alignment horizontal="right"/>
    </xf>
    <xf numFmtId="37" fontId="16" fillId="0" borderId="33" xfId="28" applyNumberFormat="1" applyFont="1" applyBorder="1" applyAlignment="1" quotePrefix="1">
      <alignment horizontal="right"/>
      <protection/>
    </xf>
    <xf numFmtId="37" fontId="16" fillId="0" borderId="31" xfId="28" applyNumberFormat="1" applyFont="1" applyBorder="1" applyAlignment="1" quotePrefix="1">
      <alignment horizontal="right"/>
      <protection/>
    </xf>
    <xf numFmtId="37" fontId="16" fillId="0" borderId="30" xfId="28" applyNumberFormat="1" applyFont="1" applyBorder="1" applyAlignment="1">
      <alignment horizontal="left"/>
      <protection/>
    </xf>
    <xf numFmtId="37" fontId="16" fillId="0" borderId="31" xfId="28" applyNumberFormat="1" applyFont="1" applyBorder="1" applyAlignment="1" quotePrefix="1">
      <alignment horizontal="center"/>
      <protection/>
    </xf>
    <xf numFmtId="37" fontId="14" fillId="0" borderId="5" xfId="28" applyNumberFormat="1" applyFont="1" applyBorder="1" applyAlignment="1" quotePrefix="1">
      <alignment horizontal="center"/>
      <protection/>
    </xf>
    <xf numFmtId="37" fontId="21" fillId="0" borderId="30" xfId="28" applyNumberFormat="1" applyFont="1" applyBorder="1" applyAlignment="1">
      <alignment horizontal="left" indent="1"/>
      <protection/>
    </xf>
    <xf numFmtId="37" fontId="21" fillId="0" borderId="31" xfId="28" applyNumberFormat="1" applyFont="1" applyBorder="1" applyAlignment="1" quotePrefix="1">
      <alignment horizontal="center"/>
      <protection/>
    </xf>
    <xf numFmtId="37" fontId="21" fillId="0" borderId="5" xfId="28" applyNumberFormat="1" applyFont="1" applyBorder="1" applyAlignment="1">
      <alignment horizontal="center"/>
      <protection/>
    </xf>
    <xf numFmtId="37" fontId="21" fillId="0" borderId="31" xfId="28" applyNumberFormat="1" applyFont="1" applyBorder="1" applyAlignment="1" quotePrefix="1">
      <alignment horizontal="right"/>
      <protection/>
    </xf>
    <xf numFmtId="37" fontId="21" fillId="0" borderId="33" xfId="28" applyNumberFormat="1" applyFont="1" applyBorder="1" applyAlignment="1" quotePrefix="1">
      <alignment horizontal="right"/>
      <protection/>
    </xf>
    <xf numFmtId="37" fontId="16" fillId="0" borderId="34" xfId="28" applyNumberFormat="1" applyFont="1" applyBorder="1" applyAlignment="1">
      <alignment horizontal="left"/>
      <protection/>
    </xf>
    <xf numFmtId="37" fontId="16" fillId="0" borderId="35" xfId="28" applyNumberFormat="1" applyFont="1" applyBorder="1" applyAlignment="1">
      <alignment horizontal="center"/>
      <protection/>
    </xf>
    <xf numFmtId="164" fontId="16" fillId="0" borderId="35" xfId="0" applyNumberFormat="1" applyFont="1" applyBorder="1" applyAlignment="1">
      <alignment horizontal="right"/>
    </xf>
    <xf numFmtId="37" fontId="16" fillId="0" borderId="36" xfId="28" applyNumberFormat="1" applyFont="1" applyBorder="1" applyAlignment="1">
      <alignment horizontal="left"/>
      <protection/>
    </xf>
    <xf numFmtId="37" fontId="16" fillId="0" borderId="5" xfId="28" applyNumberFormat="1" applyFont="1" applyBorder="1" applyAlignment="1">
      <alignment horizontal="center"/>
      <protection/>
    </xf>
    <xf numFmtId="164" fontId="16" fillId="0" borderId="35" xfId="15" applyNumberFormat="1" applyFont="1" applyBorder="1" applyAlignment="1">
      <alignment horizontal="right"/>
    </xf>
    <xf numFmtId="37" fontId="14" fillId="0" borderId="31" xfId="28" applyNumberFormat="1" applyFont="1" applyBorder="1" applyAlignment="1">
      <alignment horizontal="center"/>
      <protection/>
    </xf>
    <xf numFmtId="37" fontId="14" fillId="0" borderId="34" xfId="28" applyNumberFormat="1" applyFont="1" applyBorder="1" applyAlignment="1">
      <alignment horizontal="left" indent="1"/>
      <protection/>
    </xf>
    <xf numFmtId="164" fontId="16" fillId="0" borderId="33" xfId="15" applyNumberFormat="1" applyFont="1" applyBorder="1" applyAlignment="1" quotePrefix="1">
      <alignment horizontal="right"/>
    </xf>
    <xf numFmtId="164" fontId="21" fillId="0" borderId="31" xfId="15" applyNumberFormat="1" applyFont="1" applyBorder="1" applyAlignment="1">
      <alignment horizontal="right"/>
    </xf>
    <xf numFmtId="37" fontId="14" fillId="0" borderId="35" xfId="28" applyNumberFormat="1" applyFont="1" applyBorder="1" applyAlignment="1">
      <alignment horizontal="center"/>
      <protection/>
    </xf>
    <xf numFmtId="37" fontId="16" fillId="0" borderId="5" xfId="28" applyNumberFormat="1" applyFont="1" applyBorder="1" applyAlignment="1" quotePrefix="1">
      <alignment horizontal="right"/>
      <protection/>
    </xf>
    <xf numFmtId="0" fontId="17" fillId="0" borderId="0" xfId="0" applyFont="1" applyAlignment="1">
      <alignment horizontal="justify" wrapText="1"/>
    </xf>
    <xf numFmtId="0" fontId="34" fillId="0" borderId="0" xfId="0" applyFont="1" applyAlignment="1">
      <alignment horizontal="center"/>
    </xf>
    <xf numFmtId="3" fontId="14" fillId="0" borderId="0" xfId="0" applyNumberFormat="1" applyFont="1" applyAlignment="1">
      <alignment horizontal="justify" vertical="top" wrapText="1"/>
    </xf>
    <xf numFmtId="41" fontId="14" fillId="0" borderId="6" xfId="15" applyNumberFormat="1" applyFont="1" applyFill="1" applyBorder="1" applyAlignment="1" quotePrefix="1">
      <alignment horizontal="right"/>
    </xf>
    <xf numFmtId="3" fontId="14" fillId="0" borderId="12" xfId="31" applyNumberFormat="1" applyFont="1" applyBorder="1" applyAlignment="1" quotePrefix="1">
      <alignment horizontal="left"/>
      <protection/>
    </xf>
    <xf numFmtId="3" fontId="14" fillId="0" borderId="12" xfId="15" applyNumberFormat="1" applyFont="1" applyBorder="1" applyAlignment="1">
      <alignment horizontal="right"/>
    </xf>
    <xf numFmtId="167" fontId="14" fillId="0" borderId="12" xfId="31" applyNumberFormat="1" applyFont="1" applyBorder="1" applyAlignment="1">
      <alignment horizontal="right"/>
      <protection/>
    </xf>
    <xf numFmtId="41" fontId="16" fillId="0" borderId="0" xfId="15" applyNumberFormat="1" applyFont="1" applyFill="1" applyBorder="1" applyAlignment="1">
      <alignment/>
    </xf>
    <xf numFmtId="0" fontId="26" fillId="0" borderId="0" xfId="0" applyFont="1" applyAlignment="1">
      <alignment/>
    </xf>
    <xf numFmtId="10" fontId="26" fillId="0" borderId="0" xfId="0" applyNumberFormat="1" applyFont="1" applyAlignment="1">
      <alignment/>
    </xf>
    <xf numFmtId="0" fontId="41" fillId="0" borderId="0" xfId="0" applyFont="1" applyAlignment="1">
      <alignment vertical="center"/>
    </xf>
    <xf numFmtId="0" fontId="34" fillId="0" borderId="0" xfId="0" applyFont="1" applyAlignment="1">
      <alignment/>
    </xf>
    <xf numFmtId="41" fontId="34" fillId="0" borderId="0" xfId="15" applyNumberFormat="1" applyFont="1" applyAlignment="1">
      <alignment/>
    </xf>
    <xf numFmtId="41" fontId="34" fillId="0" borderId="0" xfId="0" applyNumberFormat="1" applyFont="1" applyAlignment="1">
      <alignment horizontal="right"/>
    </xf>
    <xf numFmtId="164" fontId="41" fillId="0" borderId="0" xfId="15" applyNumberFormat="1" applyFont="1" applyAlignment="1">
      <alignment horizontal="center"/>
    </xf>
    <xf numFmtId="164" fontId="34" fillId="0" borderId="0" xfId="15" applyNumberFormat="1" applyFont="1" applyAlignment="1">
      <alignment/>
    </xf>
    <xf numFmtId="0" fontId="42" fillId="0" borderId="0" xfId="0" applyFont="1" applyAlignment="1">
      <alignment/>
    </xf>
    <xf numFmtId="10" fontId="42" fillId="0" borderId="0" xfId="0" applyNumberFormat="1" applyFont="1" applyAlignment="1">
      <alignment/>
    </xf>
    <xf numFmtId="3" fontId="16" fillId="0" borderId="0" xfId="0" applyNumberFormat="1" applyFont="1" applyAlignment="1">
      <alignment/>
    </xf>
    <xf numFmtId="3" fontId="16" fillId="0" borderId="0" xfId="0" applyNumberFormat="1" applyFont="1" applyAlignment="1">
      <alignment horizontal="justify"/>
    </xf>
    <xf numFmtId="3" fontId="14" fillId="0" borderId="0" xfId="0" applyNumberFormat="1" applyFont="1" applyAlignment="1">
      <alignment horizontal="justify"/>
    </xf>
    <xf numFmtId="0" fontId="14" fillId="0" borderId="0" xfId="0" applyFont="1" applyAlignment="1">
      <alignment horizontal="left" vertical="top"/>
    </xf>
    <xf numFmtId="0" fontId="14" fillId="0" borderId="0" xfId="0" applyFont="1" applyAlignment="1">
      <alignment vertical="top"/>
    </xf>
    <xf numFmtId="0" fontId="16" fillId="0" borderId="0" xfId="0" applyFont="1" applyAlignment="1">
      <alignment horizontal="left" vertical="center"/>
    </xf>
    <xf numFmtId="41" fontId="26" fillId="0" borderId="0" xfId="0" applyNumberFormat="1" applyFont="1" applyAlignment="1">
      <alignment horizontal="justify" vertical="center"/>
    </xf>
    <xf numFmtId="0" fontId="16" fillId="0" borderId="0" xfId="0" applyFont="1" applyAlignment="1" quotePrefix="1">
      <alignment horizontal="justify"/>
    </xf>
    <xf numFmtId="0" fontId="16" fillId="0" borderId="0" xfId="0" applyFont="1" applyAlignment="1" quotePrefix="1">
      <alignment horizontal="left" vertical="center"/>
    </xf>
    <xf numFmtId="41" fontId="14" fillId="0" borderId="0" xfId="0" applyNumberFormat="1" applyFont="1" applyAlignment="1" quotePrefix="1">
      <alignment/>
    </xf>
    <xf numFmtId="0" fontId="14" fillId="0" borderId="0" xfId="0" applyFont="1" applyAlignment="1" quotePrefix="1">
      <alignment horizontal="justify" vertical="center"/>
    </xf>
    <xf numFmtId="164" fontId="16" fillId="0" borderId="0" xfId="15" applyNumberFormat="1" applyFont="1" applyAlignment="1">
      <alignment vertical="center"/>
    </xf>
    <xf numFmtId="14" fontId="16" fillId="0" borderId="6" xfId="15" applyNumberFormat="1" applyFont="1" applyBorder="1" applyAlignment="1">
      <alignment horizontal="right"/>
    </xf>
    <xf numFmtId="14" fontId="16" fillId="0" borderId="6" xfId="15" applyNumberFormat="1" applyFont="1" applyBorder="1" applyAlignment="1" quotePrefix="1">
      <alignment horizontal="right"/>
    </xf>
    <xf numFmtId="164" fontId="14" fillId="0" borderId="0" xfId="15" applyNumberFormat="1" applyFont="1" applyFill="1" applyBorder="1" applyAlignment="1">
      <alignment horizontal="right"/>
    </xf>
    <xf numFmtId="41" fontId="14" fillId="0" borderId="0" xfId="15" applyNumberFormat="1" applyFont="1" applyAlignment="1">
      <alignment horizontal="center"/>
    </xf>
    <xf numFmtId="164" fontId="14" fillId="0" borderId="0" xfId="0" applyNumberFormat="1" applyFont="1" applyAlignment="1">
      <alignment/>
    </xf>
    <xf numFmtId="164" fontId="26" fillId="0" borderId="0" xfId="15" applyNumberFormat="1" applyFont="1" applyBorder="1" applyAlignment="1">
      <alignment horizontal="right"/>
    </xf>
    <xf numFmtId="41" fontId="14" fillId="0" borderId="7" xfId="15" applyNumberFormat="1" applyFont="1" applyBorder="1" applyAlignment="1">
      <alignment/>
    </xf>
    <xf numFmtId="0" fontId="21" fillId="0" borderId="0" xfId="0" applyFont="1" applyAlignment="1">
      <alignment/>
    </xf>
    <xf numFmtId="164" fontId="21" fillId="0" borderId="0" xfId="15" applyNumberFormat="1" applyFont="1" applyAlignment="1">
      <alignment/>
    </xf>
    <xf numFmtId="41" fontId="21" fillId="0" borderId="0" xfId="0" applyNumberFormat="1" applyFont="1" applyAlignment="1">
      <alignment/>
    </xf>
    <xf numFmtId="41" fontId="14" fillId="0" borderId="12" xfId="15" applyNumberFormat="1" applyFont="1" applyBorder="1" applyAlignment="1">
      <alignment/>
    </xf>
    <xf numFmtId="41" fontId="20" fillId="0" borderId="9" xfId="15" applyNumberFormat="1" applyFont="1" applyBorder="1" applyAlignment="1">
      <alignment/>
    </xf>
    <xf numFmtId="41" fontId="21" fillId="0" borderId="0" xfId="0" applyNumberFormat="1" applyFont="1" applyAlignment="1">
      <alignment horizontal="left"/>
    </xf>
    <xf numFmtId="41" fontId="29" fillId="0" borderId="0" xfId="0" applyNumberFormat="1" applyFont="1" applyAlignment="1" quotePrefix="1">
      <alignment horizontal="left" vertical="center"/>
    </xf>
    <xf numFmtId="41" fontId="21" fillId="2" borderId="0" xfId="15" applyNumberFormat="1" applyFont="1" applyFill="1" applyBorder="1" applyAlignment="1">
      <alignment/>
    </xf>
    <xf numFmtId="41" fontId="16" fillId="0" borderId="11" xfId="31" applyNumberFormat="1" applyFont="1" applyBorder="1" applyAlignment="1">
      <alignment horizontal="center" vertical="center"/>
      <protection/>
    </xf>
    <xf numFmtId="0" fontId="16" fillId="0" borderId="0" xfId="31" applyFont="1" applyBorder="1" applyAlignment="1">
      <alignment/>
      <protection/>
    </xf>
    <xf numFmtId="167" fontId="14" fillId="0" borderId="9" xfId="15" applyNumberFormat="1" applyFont="1" applyBorder="1" applyAlignment="1">
      <alignment/>
    </xf>
    <xf numFmtId="0" fontId="21" fillId="0" borderId="10" xfId="31" applyFont="1" applyBorder="1" applyAlignment="1">
      <alignment horizontal="left"/>
      <protection/>
    </xf>
    <xf numFmtId="167" fontId="21" fillId="0" borderId="10" xfId="31" applyNumberFormat="1" applyFont="1" applyBorder="1" applyAlignment="1">
      <alignment/>
      <protection/>
    </xf>
    <xf numFmtId="164" fontId="21" fillId="0" borderId="10" xfId="15" applyNumberFormat="1" applyFont="1" applyBorder="1" applyAlignment="1">
      <alignment/>
    </xf>
    <xf numFmtId="164" fontId="21" fillId="0" borderId="0" xfId="15" applyNumberFormat="1" applyFont="1" applyBorder="1" applyAlignment="1" quotePrefix="1">
      <alignment horizontal="right"/>
    </xf>
    <xf numFmtId="3" fontId="21" fillId="0" borderId="0" xfId="31" applyNumberFormat="1" applyFont="1" applyBorder="1" applyAlignment="1">
      <alignment horizontal="left"/>
      <protection/>
    </xf>
    <xf numFmtId="167" fontId="21" fillId="0" borderId="0" xfId="31" applyNumberFormat="1" applyFont="1" applyBorder="1" applyAlignment="1">
      <alignment horizontal="left"/>
      <protection/>
    </xf>
    <xf numFmtId="41" fontId="21" fillId="0" borderId="0" xfId="31" applyNumberFormat="1" applyFont="1" applyBorder="1" applyAlignment="1">
      <alignment horizontal="right"/>
      <protection/>
    </xf>
    <xf numFmtId="167" fontId="21" fillId="0" borderId="0" xfId="31" applyNumberFormat="1" applyFont="1" applyBorder="1" applyAlignment="1">
      <alignment horizontal="right"/>
      <protection/>
    </xf>
    <xf numFmtId="3" fontId="43" fillId="0" borderId="0" xfId="15" applyNumberFormat="1" applyFont="1" applyBorder="1" applyAlignment="1">
      <alignment/>
    </xf>
    <xf numFmtId="164" fontId="43" fillId="0" borderId="0" xfId="15" applyNumberFormat="1" applyFont="1" applyBorder="1" applyAlignment="1">
      <alignment/>
    </xf>
    <xf numFmtId="3" fontId="14" fillId="0" borderId="12" xfId="15" applyNumberFormat="1" applyFont="1" applyBorder="1" applyAlignment="1">
      <alignment/>
    </xf>
    <xf numFmtId="167" fontId="14" fillId="0" borderId="12" xfId="15" applyNumberFormat="1" applyFont="1" applyBorder="1" applyAlignment="1">
      <alignment/>
    </xf>
    <xf numFmtId="164" fontId="21" fillId="0" borderId="12" xfId="15" applyNumberFormat="1" applyFont="1" applyBorder="1" applyAlignment="1">
      <alignment/>
    </xf>
    <xf numFmtId="3" fontId="21" fillId="0" borderId="6" xfId="31" applyNumberFormat="1" applyFont="1" applyBorder="1" applyAlignment="1">
      <alignment horizontal="left"/>
      <protection/>
    </xf>
    <xf numFmtId="3" fontId="21" fillId="0" borderId="6" xfId="15" applyNumberFormat="1" applyFont="1" applyBorder="1" applyAlignment="1">
      <alignment/>
    </xf>
    <xf numFmtId="3" fontId="21" fillId="0" borderId="6" xfId="15" applyNumberFormat="1" applyFont="1" applyBorder="1" applyAlignment="1">
      <alignment horizontal="right"/>
    </xf>
    <xf numFmtId="167" fontId="21" fillId="0" borderId="6" xfId="31" applyNumberFormat="1" applyFont="1" applyBorder="1" applyAlignment="1">
      <alignment horizontal="right"/>
      <protection/>
    </xf>
    <xf numFmtId="164" fontId="21" fillId="0" borderId="6" xfId="15" applyNumberFormat="1" applyFont="1" applyBorder="1" applyAlignment="1">
      <alignment horizontal="right"/>
    </xf>
    <xf numFmtId="167" fontId="14" fillId="0" borderId="0" xfId="15" applyNumberFormat="1" applyFont="1" applyBorder="1" applyAlignment="1">
      <alignment/>
    </xf>
    <xf numFmtId="3" fontId="14" fillId="0" borderId="9" xfId="31" applyNumberFormat="1" applyFont="1" applyBorder="1" applyAlignment="1">
      <alignment horizontal="left"/>
      <protection/>
    </xf>
    <xf numFmtId="167" fontId="14" fillId="0" borderId="9" xfId="31" applyNumberFormat="1" applyFont="1" applyBorder="1" applyAlignment="1">
      <alignment horizontal="left"/>
      <protection/>
    </xf>
    <xf numFmtId="167" fontId="21" fillId="0" borderId="10" xfId="15" applyNumberFormat="1" applyFont="1" applyBorder="1" applyAlignment="1">
      <alignment/>
    </xf>
    <xf numFmtId="167" fontId="21" fillId="0" borderId="0" xfId="15" applyNumberFormat="1" applyFont="1" applyBorder="1" applyAlignment="1">
      <alignment/>
    </xf>
    <xf numFmtId="3" fontId="21" fillId="0" borderId="12" xfId="15" applyNumberFormat="1" applyFont="1" applyBorder="1" applyAlignment="1">
      <alignment/>
    </xf>
    <xf numFmtId="167" fontId="21" fillId="0" borderId="12" xfId="15" applyNumberFormat="1" applyFont="1" applyBorder="1" applyAlignment="1">
      <alignment/>
    </xf>
    <xf numFmtId="3" fontId="14" fillId="0" borderId="6" xfId="31" applyNumberFormat="1" applyFont="1" applyBorder="1" applyAlignment="1">
      <alignment horizontal="left"/>
      <protection/>
    </xf>
    <xf numFmtId="3" fontId="14" fillId="0" borderId="6" xfId="15" applyNumberFormat="1" applyFont="1" applyBorder="1" applyAlignment="1">
      <alignment/>
    </xf>
    <xf numFmtId="0" fontId="16" fillId="0" borderId="11" xfId="31" applyFont="1" applyBorder="1" applyAlignment="1">
      <alignment/>
      <protection/>
    </xf>
    <xf numFmtId="3" fontId="16" fillId="0" borderId="11" xfId="31" applyNumberFormat="1" applyFont="1" applyBorder="1" applyAlignment="1">
      <alignment/>
      <protection/>
    </xf>
    <xf numFmtId="3" fontId="14" fillId="0" borderId="11" xfId="15" applyNumberFormat="1" applyFont="1" applyBorder="1" applyAlignment="1">
      <alignment/>
    </xf>
    <xf numFmtId="167" fontId="16" fillId="0" borderId="11" xfId="31" applyNumberFormat="1" applyFont="1" applyBorder="1" applyAlignment="1">
      <alignment/>
      <protection/>
    </xf>
    <xf numFmtId="164" fontId="14" fillId="0" borderId="11" xfId="15" applyNumberFormat="1" applyFont="1" applyBorder="1" applyAlignment="1">
      <alignment/>
    </xf>
    <xf numFmtId="164" fontId="30" fillId="0" borderId="0" xfId="15" applyNumberFormat="1" applyFont="1" applyBorder="1" applyAlignment="1">
      <alignment horizontal="right"/>
    </xf>
    <xf numFmtId="164" fontId="30" fillId="0" borderId="0" xfId="15" applyNumberFormat="1" applyFont="1" applyBorder="1" applyAlignment="1">
      <alignment/>
    </xf>
    <xf numFmtId="3" fontId="14" fillId="0" borderId="21" xfId="31" applyNumberFormat="1" applyFont="1" applyBorder="1" applyAlignment="1">
      <alignment horizontal="right"/>
      <protection/>
    </xf>
    <xf numFmtId="3" fontId="14" fillId="0" borderId="21" xfId="15" applyNumberFormat="1" applyFont="1" applyBorder="1" applyAlignment="1">
      <alignment horizontal="right"/>
    </xf>
    <xf numFmtId="167" fontId="14" fillId="0" borderId="21" xfId="31" applyNumberFormat="1" applyFont="1" applyBorder="1" applyAlignment="1">
      <alignment horizontal="right"/>
      <protection/>
    </xf>
    <xf numFmtId="164" fontId="16" fillId="0" borderId="21" xfId="15" applyNumberFormat="1" applyFont="1" applyBorder="1" applyAlignment="1">
      <alignment horizontal="right"/>
    </xf>
    <xf numFmtId="0" fontId="21" fillId="0" borderId="9" xfId="0" applyFont="1" applyBorder="1" applyAlignment="1" quotePrefix="1">
      <alignment horizontal="left"/>
    </xf>
    <xf numFmtId="0" fontId="21" fillId="0" borderId="9" xfId="0" applyFont="1" applyBorder="1" applyAlignment="1">
      <alignment horizontal="left"/>
    </xf>
    <xf numFmtId="164" fontId="21" fillId="0" borderId="9" xfId="15" applyNumberFormat="1" applyFont="1" applyBorder="1" applyAlignment="1">
      <alignment horizontal="left"/>
    </xf>
    <xf numFmtId="164" fontId="21" fillId="0" borderId="9" xfId="15" applyNumberFormat="1" applyFont="1" applyBorder="1" applyAlignment="1">
      <alignment horizontal="justify"/>
    </xf>
    <xf numFmtId="41" fontId="21" fillId="0" borderId="9" xfId="0" applyNumberFormat="1" applyFont="1" applyBorder="1" applyAlignment="1">
      <alignment/>
    </xf>
    <xf numFmtId="0" fontId="21" fillId="0" borderId="12" xfId="0" applyFont="1" applyBorder="1" applyAlignment="1">
      <alignment/>
    </xf>
    <xf numFmtId="0" fontId="21" fillId="0" borderId="12" xfId="0" applyFont="1" applyBorder="1" applyAlignment="1">
      <alignment horizontal="left"/>
    </xf>
    <xf numFmtId="164" fontId="21" fillId="0" borderId="12" xfId="15" applyNumberFormat="1" applyFont="1" applyBorder="1" applyAlignment="1">
      <alignment horizontal="left"/>
    </xf>
    <xf numFmtId="164" fontId="21" fillId="0" borderId="12" xfId="15" applyNumberFormat="1" applyFont="1" applyBorder="1" applyAlignment="1">
      <alignment horizontal="justify"/>
    </xf>
    <xf numFmtId="41" fontId="21" fillId="0" borderId="12" xfId="0" applyNumberFormat="1" applyFont="1" applyBorder="1" applyAlignment="1">
      <alignment/>
    </xf>
    <xf numFmtId="164" fontId="21" fillId="0" borderId="10" xfId="15" applyNumberFormat="1" applyFont="1" applyBorder="1" applyAlignment="1">
      <alignment horizontal="justify"/>
    </xf>
    <xf numFmtId="41" fontId="21" fillId="0" borderId="10" xfId="0" applyNumberFormat="1" applyFont="1" applyBorder="1" applyAlignment="1">
      <alignment/>
    </xf>
    <xf numFmtId="0" fontId="16" fillId="0" borderId="14" xfId="0" applyFont="1" applyBorder="1" applyAlignment="1">
      <alignment horizontal="center"/>
    </xf>
    <xf numFmtId="0" fontId="14" fillId="0" borderId="14" xfId="0" applyFont="1" applyBorder="1" applyAlignment="1">
      <alignment horizontal="justify"/>
    </xf>
    <xf numFmtId="41" fontId="16" fillId="0" borderId="14" xfId="15" applyNumberFormat="1" applyFont="1" applyFill="1" applyBorder="1" applyAlignment="1">
      <alignment/>
    </xf>
    <xf numFmtId="0" fontId="14" fillId="0" borderId="0" xfId="0" applyFont="1" applyBorder="1" applyAlignment="1">
      <alignment wrapText="1"/>
    </xf>
    <xf numFmtId="0" fontId="17" fillId="0" borderId="0" xfId="0" applyFont="1" applyBorder="1" applyAlignment="1">
      <alignment wrapText="1"/>
    </xf>
    <xf numFmtId="0" fontId="14" fillId="0" borderId="0" xfId="0" applyFont="1" applyBorder="1" applyAlignment="1" quotePrefix="1">
      <alignment horizontal="left" wrapText="1"/>
    </xf>
    <xf numFmtId="0" fontId="14" fillId="0" borderId="0" xfId="0" applyFont="1" applyBorder="1" applyAlignment="1">
      <alignment horizontal="justify" vertical="center"/>
    </xf>
    <xf numFmtId="0" fontId="17" fillId="0" borderId="0" xfId="0" applyFont="1" applyBorder="1" applyAlignment="1">
      <alignment horizontal="justify" vertical="center"/>
    </xf>
    <xf numFmtId="0" fontId="14" fillId="0" borderId="9" xfId="0" applyFont="1" applyBorder="1" applyAlignment="1">
      <alignment horizontal="left"/>
    </xf>
    <xf numFmtId="164" fontId="14" fillId="0" borderId="9" xfId="15" applyNumberFormat="1" applyFont="1" applyBorder="1" applyAlignment="1">
      <alignment horizontal="left"/>
    </xf>
    <xf numFmtId="164" fontId="14" fillId="0" borderId="9" xfId="15" applyNumberFormat="1" applyFont="1" applyBorder="1" applyAlignment="1">
      <alignment horizontal="justify"/>
    </xf>
    <xf numFmtId="41" fontId="14" fillId="0" borderId="9" xfId="15" applyNumberFormat="1" applyFont="1" applyBorder="1" applyAlignment="1">
      <alignment horizontal="right"/>
    </xf>
    <xf numFmtId="41" fontId="14" fillId="0" borderId="9" xfId="0" applyNumberFormat="1" applyFont="1" applyBorder="1" applyAlignment="1">
      <alignment/>
    </xf>
    <xf numFmtId="0" fontId="14" fillId="0" borderId="0" xfId="0" applyFont="1" applyFill="1" applyAlignment="1">
      <alignment/>
    </xf>
    <xf numFmtId="0" fontId="14" fillId="0" borderId="0" xfId="0" applyFont="1" applyBorder="1" applyAlignment="1" quotePrefix="1">
      <alignment horizontal="justify" wrapText="1"/>
    </xf>
    <xf numFmtId="0" fontId="14" fillId="0" borderId="11" xfId="0" applyFont="1" applyFill="1" applyBorder="1" applyAlignment="1">
      <alignment/>
    </xf>
    <xf numFmtId="164" fontId="14" fillId="0" borderId="0" xfId="15" applyNumberFormat="1" applyFont="1" applyFill="1" applyAlignment="1">
      <alignment/>
    </xf>
    <xf numFmtId="0" fontId="14" fillId="0" borderId="12" xfId="31" applyFont="1" applyFill="1" applyBorder="1" applyAlignment="1">
      <alignment horizontal="left"/>
      <protection/>
    </xf>
    <xf numFmtId="0" fontId="14" fillId="0" borderId="12" xfId="0" applyFont="1" applyFill="1" applyBorder="1" applyAlignment="1">
      <alignment/>
    </xf>
    <xf numFmtId="0" fontId="14" fillId="0" borderId="12" xfId="0" applyFont="1" applyFill="1" applyBorder="1" applyAlignment="1">
      <alignment horizontal="left"/>
    </xf>
    <xf numFmtId="3" fontId="14" fillId="0" borderId="12" xfId="0" applyNumberFormat="1" applyFont="1" applyFill="1" applyBorder="1" applyAlignment="1">
      <alignment/>
    </xf>
    <xf numFmtId="164" fontId="14" fillId="0" borderId="12" xfId="15" applyNumberFormat="1" applyFont="1" applyFill="1" applyBorder="1" applyAlignment="1">
      <alignment/>
    </xf>
    <xf numFmtId="41" fontId="14" fillId="0" borderId="12" xfId="0" applyNumberFormat="1" applyFont="1" applyFill="1" applyBorder="1" applyAlignment="1">
      <alignment/>
    </xf>
    <xf numFmtId="3" fontId="21" fillId="0" borderId="0" xfId="0" applyNumberFormat="1" applyFont="1" applyFill="1" applyBorder="1" applyAlignment="1">
      <alignment/>
    </xf>
    <xf numFmtId="164" fontId="21" fillId="0" borderId="13" xfId="15" applyNumberFormat="1" applyFont="1" applyFill="1" applyBorder="1" applyAlignment="1">
      <alignment/>
    </xf>
    <xf numFmtId="41" fontId="21" fillId="0" borderId="13" xfId="0" applyNumberFormat="1" applyFont="1" applyFill="1" applyBorder="1" applyAlignment="1">
      <alignment/>
    </xf>
    <xf numFmtId="164" fontId="14" fillId="0" borderId="0" xfId="0" applyNumberFormat="1" applyFont="1" applyFill="1" applyAlignment="1">
      <alignment/>
    </xf>
    <xf numFmtId="0" fontId="14" fillId="0" borderId="23" xfId="31" applyFont="1" applyFill="1" applyBorder="1" applyAlignment="1">
      <alignment horizontal="left" vertical="center"/>
      <protection/>
    </xf>
    <xf numFmtId="164" fontId="14" fillId="0" borderId="0" xfId="0" applyNumberFormat="1" applyFont="1" applyFill="1" applyBorder="1" applyAlignment="1">
      <alignment horizontal="left" vertical="center"/>
    </xf>
    <xf numFmtId="14" fontId="16" fillId="0" borderId="0" xfId="0" applyNumberFormat="1" applyFont="1" applyFill="1" applyBorder="1" applyAlignment="1">
      <alignment horizontal="right"/>
    </xf>
    <xf numFmtId="0" fontId="22" fillId="0" borderId="7" xfId="0" applyFont="1" applyFill="1" applyBorder="1" applyAlignment="1">
      <alignment horizontal="left" vertical="center"/>
    </xf>
    <xf numFmtId="43" fontId="14" fillId="0" borderId="0" xfId="15" applyNumberFormat="1" applyFont="1" applyFill="1" applyBorder="1" applyAlignment="1">
      <alignment horizontal="right"/>
    </xf>
    <xf numFmtId="164" fontId="16" fillId="0" borderId="0" xfId="0" applyNumberFormat="1" applyFont="1" applyFill="1" applyBorder="1" applyAlignment="1">
      <alignment/>
    </xf>
    <xf numFmtId="14" fontId="16" fillId="0" borderId="6" xfId="15" applyNumberFormat="1" applyFont="1" applyFill="1" applyBorder="1" applyAlignment="1">
      <alignment horizontal="right" vertical="center"/>
    </xf>
    <xf numFmtId="164" fontId="14" fillId="0" borderId="0" xfId="15" applyNumberFormat="1" applyFont="1" applyFill="1" applyBorder="1" applyAlignment="1">
      <alignment horizontal="right" vertical="center"/>
    </xf>
    <xf numFmtId="3" fontId="16" fillId="0" borderId="0" xfId="0" applyNumberFormat="1" applyFont="1" applyFill="1" applyBorder="1" applyAlignment="1">
      <alignment vertical="center"/>
    </xf>
    <xf numFmtId="164" fontId="16" fillId="0" borderId="0" xfId="0" applyNumberFormat="1" applyFont="1" applyFill="1" applyBorder="1" applyAlignment="1">
      <alignment vertical="center"/>
    </xf>
    <xf numFmtId="0" fontId="17" fillId="0" borderId="6" xfId="0" applyFont="1" applyFill="1" applyBorder="1" applyAlignment="1">
      <alignment/>
    </xf>
    <xf numFmtId="0" fontId="16" fillId="0" borderId="0" xfId="0" applyFont="1" applyFill="1" applyBorder="1" applyAlignment="1">
      <alignment vertical="top"/>
    </xf>
    <xf numFmtId="3" fontId="16" fillId="0" borderId="0" xfId="0" applyNumberFormat="1" applyFont="1" applyFill="1" applyBorder="1" applyAlignment="1">
      <alignment vertical="top"/>
    </xf>
    <xf numFmtId="14" fontId="16" fillId="0" borderId="6" xfId="0" applyNumberFormat="1" applyFont="1" applyFill="1" applyBorder="1" applyAlignment="1">
      <alignment horizontal="right" vertical="center"/>
    </xf>
    <xf numFmtId="41" fontId="16" fillId="0" borderId="0" xfId="0" applyNumberFormat="1" applyFont="1" applyFill="1" applyBorder="1" applyAlignment="1">
      <alignment vertical="top"/>
    </xf>
    <xf numFmtId="41" fontId="26" fillId="2" borderId="0" xfId="0" applyNumberFormat="1" applyFont="1" applyFill="1" applyBorder="1" applyAlignment="1">
      <alignment horizontal="right"/>
    </xf>
    <xf numFmtId="0" fontId="14" fillId="2" borderId="0" xfId="0" applyFont="1" applyFill="1" applyBorder="1" applyAlignment="1">
      <alignment horizontal="left" vertical="center"/>
    </xf>
    <xf numFmtId="41" fontId="14" fillId="2" borderId="0" xfId="0" applyNumberFormat="1" applyFont="1" applyFill="1" applyBorder="1" applyAlignment="1">
      <alignment horizontal="left" vertical="center"/>
    </xf>
    <xf numFmtId="3" fontId="16" fillId="0" borderId="0" xfId="0" applyNumberFormat="1" applyFont="1" applyBorder="1" applyAlignment="1">
      <alignment/>
    </xf>
    <xf numFmtId="164" fontId="14" fillId="0" borderId="0" xfId="15" applyNumberFormat="1" applyFont="1" applyBorder="1" applyAlignment="1">
      <alignment horizontal="left" vertical="center"/>
    </xf>
    <xf numFmtId="41" fontId="16" fillId="0" borderId="0" xfId="0" applyNumberFormat="1" applyFont="1" applyBorder="1" applyAlignment="1">
      <alignment/>
    </xf>
    <xf numFmtId="49" fontId="16" fillId="0" borderId="6" xfId="15" applyNumberFormat="1" applyFont="1" applyBorder="1" applyAlignment="1">
      <alignment horizontal="right"/>
    </xf>
    <xf numFmtId="14" fontId="16" fillId="0" borderId="6" xfId="0" applyNumberFormat="1" applyFont="1" applyFill="1" applyBorder="1" applyAlignment="1">
      <alignment horizontal="right"/>
    </xf>
    <xf numFmtId="164" fontId="16" fillId="0" borderId="0" xfId="0" applyNumberFormat="1" applyFont="1" applyBorder="1" applyAlignment="1">
      <alignment/>
    </xf>
    <xf numFmtId="41" fontId="30" fillId="0" borderId="0" xfId="15" applyNumberFormat="1" applyFont="1" applyBorder="1" applyAlignment="1">
      <alignment horizontal="right"/>
    </xf>
    <xf numFmtId="0" fontId="44" fillId="0" borderId="0" xfId="0" applyFont="1" applyBorder="1" applyAlignment="1">
      <alignment/>
    </xf>
    <xf numFmtId="41" fontId="30" fillId="0" borderId="0" xfId="15" applyNumberFormat="1" applyFont="1" applyBorder="1" applyAlignment="1" quotePrefix="1">
      <alignment horizontal="right"/>
    </xf>
    <xf numFmtId="164" fontId="44" fillId="0" borderId="0" xfId="0" applyNumberFormat="1" applyFont="1" applyBorder="1" applyAlignment="1">
      <alignment/>
    </xf>
    <xf numFmtId="164" fontId="14" fillId="0" borderId="0" xfId="15" applyNumberFormat="1" applyFont="1" applyBorder="1" applyAlignment="1">
      <alignment horizontal="right" vertical="center"/>
    </xf>
    <xf numFmtId="3" fontId="16" fillId="0" borderId="0" xfId="0" applyNumberFormat="1" applyFont="1" applyBorder="1" applyAlignment="1">
      <alignment vertical="center"/>
    </xf>
    <xf numFmtId="41" fontId="16" fillId="0" borderId="0" xfId="15" applyNumberFormat="1" applyFont="1" applyBorder="1" applyAlignment="1">
      <alignment horizontal="right" vertical="center"/>
    </xf>
    <xf numFmtId="164" fontId="21" fillId="0" borderId="0" xfId="0" applyNumberFormat="1" applyFont="1" applyBorder="1" applyAlignment="1">
      <alignment/>
    </xf>
    <xf numFmtId="164" fontId="30" fillId="0" borderId="0" xfId="15" applyNumberFormat="1" applyFont="1" applyBorder="1" applyAlignment="1">
      <alignment horizontal="right" vertical="center"/>
    </xf>
    <xf numFmtId="41" fontId="44" fillId="0" borderId="0" xfId="0" applyNumberFormat="1" applyFont="1" applyBorder="1" applyAlignment="1">
      <alignment/>
    </xf>
    <xf numFmtId="164" fontId="30" fillId="0" borderId="0" xfId="15" applyNumberFormat="1" applyFont="1" applyFill="1" applyBorder="1" applyAlignment="1">
      <alignment horizontal="right" vertical="center"/>
    </xf>
    <xf numFmtId="0" fontId="44" fillId="0" borderId="0" xfId="0" applyFont="1" applyFill="1" applyBorder="1" applyAlignment="1">
      <alignment/>
    </xf>
    <xf numFmtId="41" fontId="43" fillId="0" borderId="0" xfId="0" applyNumberFormat="1" applyFont="1" applyBorder="1" applyAlignment="1">
      <alignment horizontal="center" vertical="center"/>
    </xf>
    <xf numFmtId="3" fontId="22" fillId="0" borderId="0" xfId="0" applyNumberFormat="1" applyFont="1" applyBorder="1" applyAlignment="1">
      <alignment/>
    </xf>
    <xf numFmtId="41" fontId="43" fillId="0" borderId="0" xfId="0" applyNumberFormat="1" applyFont="1" applyBorder="1" applyAlignment="1">
      <alignment horizontal="right" vertical="center"/>
    </xf>
    <xf numFmtId="41" fontId="35" fillId="0" borderId="0" xfId="0" applyNumberFormat="1" applyFont="1" applyBorder="1" applyAlignment="1">
      <alignment horizontal="right" vertical="center"/>
    </xf>
    <xf numFmtId="41" fontId="30" fillId="0" borderId="0" xfId="0" applyNumberFormat="1" applyFont="1" applyBorder="1" applyAlignment="1">
      <alignment horizontal="right" vertical="center"/>
    </xf>
    <xf numFmtId="41" fontId="35" fillId="0" borderId="12" xfId="0" applyNumberFormat="1" applyFont="1" applyBorder="1" applyAlignment="1">
      <alignment horizontal="right" vertical="center"/>
    </xf>
    <xf numFmtId="41" fontId="44" fillId="0" borderId="0" xfId="0" applyNumberFormat="1" applyFont="1" applyFill="1" applyBorder="1" applyAlignment="1">
      <alignment horizontal="right"/>
    </xf>
    <xf numFmtId="43" fontId="16" fillId="0" borderId="0" xfId="0" applyNumberFormat="1" applyFont="1" applyBorder="1" applyAlignment="1">
      <alignment/>
    </xf>
    <xf numFmtId="164" fontId="21" fillId="0" borderId="13" xfId="15" applyNumberFormat="1" applyFont="1" applyBorder="1" applyAlignment="1">
      <alignment horizontal="justify"/>
    </xf>
    <xf numFmtId="0" fontId="33" fillId="0" borderId="0" xfId="0" applyFont="1" applyAlignment="1">
      <alignment horizontal="left"/>
    </xf>
    <xf numFmtId="0" fontId="46" fillId="0" borderId="37" xfId="0" applyFont="1" applyBorder="1" applyAlignment="1">
      <alignment horizontal="center"/>
    </xf>
    <xf numFmtId="0" fontId="46" fillId="0" borderId="38" xfId="0" applyFont="1" applyBorder="1" applyAlignment="1">
      <alignment horizontal="center"/>
    </xf>
    <xf numFmtId="14" fontId="46" fillId="0" borderId="38" xfId="0" applyNumberFormat="1" applyFont="1" applyBorder="1" applyAlignment="1">
      <alignment horizontal="center"/>
    </xf>
    <xf numFmtId="14" fontId="46" fillId="0" borderId="39" xfId="0" applyNumberFormat="1" applyFont="1" applyBorder="1" applyAlignment="1">
      <alignment horizontal="center"/>
    </xf>
    <xf numFmtId="0" fontId="46" fillId="0" borderId="40" xfId="0" applyFont="1" applyBorder="1" applyAlignment="1">
      <alignment horizontal="center"/>
    </xf>
    <xf numFmtId="0" fontId="47" fillId="0" borderId="41" xfId="0" applyFont="1" applyBorder="1" applyAlignment="1">
      <alignment horizontal="left"/>
    </xf>
    <xf numFmtId="41" fontId="47" fillId="0" borderId="42" xfId="0" applyNumberFormat="1" applyFont="1" applyBorder="1" applyAlignment="1">
      <alignment/>
    </xf>
    <xf numFmtId="0" fontId="1" fillId="0" borderId="43" xfId="0" applyFont="1" applyBorder="1" applyAlignment="1">
      <alignment horizontal="center"/>
    </xf>
    <xf numFmtId="0" fontId="1" fillId="0" borderId="2" xfId="0" applyFont="1" applyBorder="1" applyAlignment="1">
      <alignment/>
    </xf>
    <xf numFmtId="41" fontId="1" fillId="0" borderId="44" xfId="16" applyFont="1" applyBorder="1" applyAlignment="1">
      <alignment/>
    </xf>
    <xf numFmtId="0" fontId="46" fillId="0" borderId="43" xfId="0" applyFont="1" applyBorder="1" applyAlignment="1">
      <alignment horizontal="center"/>
    </xf>
    <xf numFmtId="0" fontId="47" fillId="0" borderId="2" xfId="0" applyFont="1" applyBorder="1" applyAlignment="1">
      <alignment/>
    </xf>
    <xf numFmtId="41" fontId="47" fillId="0" borderId="44" xfId="16" applyFont="1" applyBorder="1" applyAlignment="1">
      <alignment/>
    </xf>
    <xf numFmtId="0" fontId="0" fillId="0" borderId="44" xfId="0" applyBorder="1" applyAlignment="1">
      <alignment/>
    </xf>
    <xf numFmtId="0" fontId="46" fillId="0" borderId="2" xfId="0" applyFont="1" applyBorder="1" applyAlignment="1">
      <alignment horizontal="left"/>
    </xf>
    <xf numFmtId="0" fontId="47" fillId="0" borderId="2" xfId="0" applyFont="1" applyBorder="1" applyAlignment="1">
      <alignment horizontal="left"/>
    </xf>
    <xf numFmtId="41" fontId="46" fillId="0" borderId="44" xfId="16" applyFont="1" applyBorder="1" applyAlignment="1">
      <alignment/>
    </xf>
    <xf numFmtId="0" fontId="1" fillId="0" borderId="45" xfId="0" applyFont="1" applyBorder="1" applyAlignment="1">
      <alignment horizontal="center"/>
    </xf>
    <xf numFmtId="0" fontId="1" fillId="0" borderId="3" xfId="0" applyFont="1" applyBorder="1" applyAlignment="1">
      <alignment/>
    </xf>
    <xf numFmtId="41" fontId="1" fillId="0" borderId="46" xfId="16" applyFont="1" applyBorder="1" applyAlignment="1">
      <alignment/>
    </xf>
    <xf numFmtId="0" fontId="46" fillId="0" borderId="47" xfId="0" applyFont="1" applyBorder="1" applyAlignment="1">
      <alignment horizontal="center"/>
    </xf>
    <xf numFmtId="0" fontId="46" fillId="0" borderId="48" xfId="0" applyFont="1" applyBorder="1" applyAlignment="1">
      <alignment horizontal="left"/>
    </xf>
    <xf numFmtId="41" fontId="47" fillId="0" borderId="49" xfId="16" applyFont="1" applyBorder="1" applyAlignment="1">
      <alignment/>
    </xf>
    <xf numFmtId="0" fontId="1" fillId="0" borderId="0" xfId="0" applyFont="1" applyAlignment="1">
      <alignment horizontal="center"/>
    </xf>
    <xf numFmtId="0" fontId="1" fillId="0" borderId="0" xfId="0" applyFont="1" applyAlignment="1">
      <alignment/>
    </xf>
    <xf numFmtId="41" fontId="1" fillId="0" borderId="0" xfId="16" applyFont="1" applyAlignment="1">
      <alignment/>
    </xf>
    <xf numFmtId="0" fontId="46" fillId="0" borderId="50" xfId="0" applyFont="1" applyBorder="1" applyAlignment="1">
      <alignment horizontal="center" vertical="center"/>
    </xf>
    <xf numFmtId="0" fontId="46" fillId="0" borderId="51" xfId="0" applyFont="1" applyBorder="1" applyAlignment="1">
      <alignment horizontal="center" vertical="center" wrapText="1"/>
    </xf>
    <xf numFmtId="14" fontId="46" fillId="0" borderId="52" xfId="0" applyNumberFormat="1" applyFont="1" applyBorder="1" applyAlignment="1">
      <alignment horizontal="center" vertical="center" wrapText="1"/>
    </xf>
    <xf numFmtId="0" fontId="46" fillId="0" borderId="53" xfId="0" applyFont="1" applyBorder="1" applyAlignment="1">
      <alignment horizontal="center" vertical="center" wrapText="1"/>
    </xf>
    <xf numFmtId="0" fontId="1" fillId="0" borderId="54" xfId="0" applyFont="1" applyBorder="1" applyAlignment="1">
      <alignment horizontal="center"/>
    </xf>
    <xf numFmtId="0" fontId="46" fillId="0" borderId="55" xfId="0" applyFont="1" applyBorder="1" applyAlignment="1">
      <alignment/>
    </xf>
    <xf numFmtId="164" fontId="46" fillId="0" borderId="56" xfId="15" applyNumberFormat="1" applyFont="1" applyBorder="1" applyAlignment="1">
      <alignment/>
    </xf>
    <xf numFmtId="0" fontId="1" fillId="0" borderId="57" xfId="0" applyFont="1" applyBorder="1" applyAlignment="1">
      <alignment horizontal="center"/>
    </xf>
    <xf numFmtId="0" fontId="46" fillId="0" borderId="16" xfId="0" applyFont="1" applyBorder="1" applyAlignment="1">
      <alignment/>
    </xf>
    <xf numFmtId="164" fontId="46" fillId="0" borderId="2" xfId="15" applyNumberFormat="1" applyFont="1" applyBorder="1" applyAlignment="1">
      <alignment/>
    </xf>
    <xf numFmtId="43" fontId="46" fillId="0" borderId="2" xfId="15" applyNumberFormat="1" applyFont="1" applyBorder="1" applyAlignment="1">
      <alignment/>
    </xf>
    <xf numFmtId="0" fontId="46" fillId="0" borderId="58" xfId="0" applyFont="1" applyBorder="1" applyAlignment="1">
      <alignment/>
    </xf>
    <xf numFmtId="164" fontId="46" fillId="0" borderId="59" xfId="15" applyNumberFormat="1" applyFont="1" applyBorder="1" applyAlignment="1">
      <alignment/>
    </xf>
    <xf numFmtId="0" fontId="46" fillId="0" borderId="0" xfId="0" applyFont="1" applyFill="1" applyBorder="1" applyAlignment="1">
      <alignment/>
    </xf>
    <xf numFmtId="164" fontId="0" fillId="0" borderId="44" xfId="15" applyNumberFormat="1" applyBorder="1" applyAlignment="1">
      <alignment/>
    </xf>
    <xf numFmtId="49" fontId="16" fillId="0" borderId="16" xfId="15" applyNumberFormat="1" applyFont="1" applyFill="1" applyBorder="1" applyAlignment="1">
      <alignment horizontal="right" vertical="center"/>
    </xf>
    <xf numFmtId="0" fontId="21" fillId="0" borderId="13" xfId="0" applyFont="1" applyBorder="1" applyAlignment="1" quotePrefix="1">
      <alignment horizontal="left"/>
    </xf>
    <xf numFmtId="0" fontId="21" fillId="0" borderId="13" xfId="0" applyFont="1" applyBorder="1" applyAlignment="1">
      <alignment/>
    </xf>
    <xf numFmtId="0" fontId="21" fillId="0" borderId="13" xfId="0" applyFont="1" applyBorder="1" applyAlignment="1">
      <alignment horizontal="left"/>
    </xf>
    <xf numFmtId="164" fontId="21" fillId="0" borderId="13" xfId="15" applyNumberFormat="1" applyFont="1" applyBorder="1" applyAlignment="1">
      <alignment horizontal="left"/>
    </xf>
    <xf numFmtId="41" fontId="21" fillId="0" borderId="13" xfId="0" applyNumberFormat="1" applyFont="1" applyBorder="1" applyAlignment="1">
      <alignment/>
    </xf>
    <xf numFmtId="41" fontId="14" fillId="0" borderId="10" xfId="0" applyNumberFormat="1" applyFont="1" applyBorder="1" applyAlignment="1">
      <alignment/>
    </xf>
    <xf numFmtId="164" fontId="14" fillId="0" borderId="14" xfId="15" applyNumberFormat="1" applyFont="1" applyBorder="1" applyAlignment="1">
      <alignment/>
    </xf>
    <xf numFmtId="164" fontId="16" fillId="0" borderId="6" xfId="0" applyNumberFormat="1" applyFont="1" applyBorder="1" applyAlignment="1">
      <alignment/>
    </xf>
    <xf numFmtId="164" fontId="31" fillId="0" borderId="14" xfId="15" applyNumberFormat="1" applyFont="1" applyBorder="1" applyAlignment="1">
      <alignment wrapText="1"/>
    </xf>
    <xf numFmtId="41" fontId="16" fillId="0" borderId="14" xfId="15" applyNumberFormat="1" applyFont="1" applyFill="1" applyBorder="1" applyAlignment="1">
      <alignment horizontal="right"/>
    </xf>
    <xf numFmtId="0" fontId="14" fillId="0" borderId="1" xfId="0" applyFont="1" applyBorder="1" applyAlignment="1">
      <alignment wrapText="1"/>
    </xf>
    <xf numFmtId="37" fontId="44" fillId="0" borderId="17" xfId="28" applyNumberFormat="1" applyFont="1" applyBorder="1" applyAlignment="1" quotePrefix="1">
      <alignment horizontal="right"/>
      <protection/>
    </xf>
    <xf numFmtId="37" fontId="30" fillId="0" borderId="0" xfId="0" applyNumberFormat="1" applyFont="1" applyBorder="1" applyAlignment="1">
      <alignment/>
    </xf>
    <xf numFmtId="164" fontId="44" fillId="0" borderId="17" xfId="15" applyNumberFormat="1" applyFont="1" applyBorder="1" applyAlignment="1" quotePrefix="1">
      <alignment horizontal="right"/>
    </xf>
    <xf numFmtId="37" fontId="43" fillId="0" borderId="17" xfId="28" applyNumberFormat="1" applyFont="1" applyBorder="1" applyAlignment="1" quotePrefix="1">
      <alignment horizontal="right"/>
      <protection/>
    </xf>
    <xf numFmtId="41" fontId="50" fillId="0" borderId="0" xfId="0" applyNumberFormat="1" applyFont="1" applyFill="1" applyBorder="1" applyAlignment="1">
      <alignment horizontal="right" vertical="center"/>
    </xf>
    <xf numFmtId="0" fontId="31" fillId="0" borderId="0" xfId="0" applyFont="1" applyAlignment="1">
      <alignment horizontal="left" wrapText="1"/>
    </xf>
    <xf numFmtId="0" fontId="16" fillId="0" borderId="11" xfId="0" applyFont="1" applyFill="1" applyBorder="1" applyAlignment="1">
      <alignment horizontal="center" vertical="center"/>
    </xf>
    <xf numFmtId="0" fontId="25" fillId="0" borderId="1" xfId="0" applyFont="1" applyFill="1" applyBorder="1" applyAlignment="1">
      <alignment horizontal="justify" wrapText="1"/>
    </xf>
    <xf numFmtId="0" fontId="22" fillId="0" borderId="1" xfId="0" applyFont="1" applyFill="1" applyBorder="1" applyAlignment="1">
      <alignment horizontal="justify" wrapText="1"/>
    </xf>
    <xf numFmtId="0" fontId="14" fillId="0" borderId="7" xfId="0" applyFont="1" applyFill="1" applyBorder="1" applyAlignment="1" quotePrefix="1">
      <alignment horizontal="left"/>
    </xf>
    <xf numFmtId="0" fontId="14" fillId="0" borderId="7" xfId="0" applyFont="1" applyFill="1" applyBorder="1" applyAlignment="1">
      <alignment horizontal="left"/>
    </xf>
    <xf numFmtId="41" fontId="14" fillId="0" borderId="0" xfId="0" applyNumberFormat="1" applyFont="1" applyBorder="1" applyAlignment="1">
      <alignment horizontal="right"/>
    </xf>
    <xf numFmtId="41" fontId="16" fillId="0" borderId="21" xfId="0" applyNumberFormat="1" applyFont="1" applyBorder="1" applyAlignment="1">
      <alignment horizontal="right" vertical="center"/>
    </xf>
    <xf numFmtId="0" fontId="14" fillId="0" borderId="0" xfId="0" applyFont="1" applyAlignment="1" quotePrefix="1">
      <alignment horizontal="justify" wrapText="1"/>
    </xf>
    <xf numFmtId="164" fontId="16" fillId="0" borderId="6" xfId="15" applyNumberFormat="1" applyFont="1" applyBorder="1" applyAlignment="1">
      <alignment horizontal="right"/>
    </xf>
    <xf numFmtId="41" fontId="14" fillId="0" borderId="7" xfId="0" applyNumberFormat="1" applyFont="1" applyBorder="1" applyAlignment="1">
      <alignment horizontal="right"/>
    </xf>
    <xf numFmtId="0" fontId="14" fillId="0" borderId="0" xfId="0" applyFont="1" applyFill="1" applyBorder="1" applyAlignment="1" quotePrefix="1">
      <alignment horizontal="left"/>
    </xf>
    <xf numFmtId="0" fontId="14" fillId="0" borderId="0" xfId="0" applyFont="1" applyFill="1" applyBorder="1" applyAlignment="1">
      <alignment horizontal="left"/>
    </xf>
    <xf numFmtId="0" fontId="21" fillId="0" borderId="14" xfId="0" applyFont="1" applyFill="1" applyBorder="1" applyAlignment="1">
      <alignment horizontal="left" wrapText="1"/>
    </xf>
    <xf numFmtId="0" fontId="22" fillId="0" borderId="0" xfId="0" applyFont="1" applyFill="1" applyBorder="1" applyAlignment="1">
      <alignment horizontal="left" wrapText="1"/>
    </xf>
    <xf numFmtId="164" fontId="16" fillId="0" borderId="15" xfId="15" applyNumberFormat="1" applyFont="1" applyBorder="1" applyAlignment="1">
      <alignment horizontal="center"/>
    </xf>
    <xf numFmtId="164" fontId="16" fillId="0" borderId="16" xfId="15" applyNumberFormat="1" applyFont="1" applyBorder="1" applyAlignment="1">
      <alignment horizontal="center"/>
    </xf>
    <xf numFmtId="0" fontId="45" fillId="0" borderId="0" xfId="0" applyFont="1" applyAlignment="1">
      <alignment horizontal="center"/>
    </xf>
    <xf numFmtId="0" fontId="46" fillId="0" borderId="0" xfId="0" applyFont="1" applyAlignment="1">
      <alignment horizontal="center"/>
    </xf>
    <xf numFmtId="0" fontId="48" fillId="0" borderId="0" xfId="0" applyFont="1" applyAlignment="1">
      <alignment horizontal="center"/>
    </xf>
    <xf numFmtId="0" fontId="0" fillId="0" borderId="0" xfId="0" applyFont="1" applyFill="1" applyBorder="1" applyAlignment="1">
      <alignment wrapText="1"/>
    </xf>
    <xf numFmtId="0" fontId="0" fillId="0" borderId="0" xfId="0" applyAlignment="1">
      <alignment wrapText="1"/>
    </xf>
    <xf numFmtId="164" fontId="16" fillId="0" borderId="0" xfId="15" applyNumberFormat="1" applyFont="1" applyAlignment="1">
      <alignment horizontal="center" vertical="center"/>
    </xf>
    <xf numFmtId="164" fontId="14" fillId="0" borderId="0" xfId="15" applyNumberFormat="1" applyFont="1" applyAlignment="1">
      <alignment horizontal="center"/>
    </xf>
    <xf numFmtId="164" fontId="21" fillId="0" borderId="0" xfId="15" applyNumberFormat="1" applyFont="1" applyAlignment="1">
      <alignment horizontal="center"/>
    </xf>
    <xf numFmtId="43" fontId="16" fillId="0" borderId="26" xfId="15" applyFont="1" applyFill="1" applyBorder="1" applyAlignment="1">
      <alignment horizontal="center" vertical="center" wrapText="1"/>
    </xf>
    <xf numFmtId="37" fontId="16" fillId="0" borderId="60" xfId="28" applyNumberFormat="1" applyFont="1" applyFill="1" applyBorder="1" applyAlignment="1">
      <alignment horizontal="center" vertical="center"/>
      <protection/>
    </xf>
    <xf numFmtId="37" fontId="16" fillId="0" borderId="25" xfId="28" applyNumberFormat="1" applyFont="1" applyFill="1" applyBorder="1" applyAlignment="1">
      <alignment horizontal="center" vertical="center"/>
      <protection/>
    </xf>
    <xf numFmtId="37" fontId="16" fillId="0" borderId="60" xfId="28" applyNumberFormat="1" applyFont="1" applyFill="1" applyBorder="1" applyAlignment="1">
      <alignment horizontal="center" vertical="center" wrapText="1"/>
      <protection/>
    </xf>
    <xf numFmtId="37" fontId="16" fillId="0" borderId="25" xfId="28" applyNumberFormat="1" applyFont="1" applyFill="1" applyBorder="1" applyAlignment="1">
      <alignment horizontal="center" vertical="center" wrapText="1"/>
      <protection/>
    </xf>
    <xf numFmtId="37" fontId="14" fillId="0" borderId="0" xfId="0" applyNumberFormat="1" applyFont="1" applyBorder="1" applyAlignment="1">
      <alignment horizontal="center"/>
    </xf>
    <xf numFmtId="37" fontId="16" fillId="0" borderId="0" xfId="15" applyNumberFormat="1" applyFont="1" applyAlignment="1">
      <alignment horizontal="center" vertical="center"/>
    </xf>
    <xf numFmtId="37" fontId="13" fillId="0" borderId="0" xfId="15" applyNumberFormat="1" applyFont="1" applyAlignment="1">
      <alignment horizontal="center" vertical="center"/>
    </xf>
    <xf numFmtId="41" fontId="16" fillId="0" borderId="21" xfId="0" applyNumberFormat="1" applyFont="1" applyBorder="1" applyAlignment="1">
      <alignment horizontal="right"/>
    </xf>
    <xf numFmtId="0" fontId="14" fillId="0" borderId="0" xfId="0" applyFont="1" applyAlignment="1">
      <alignment horizontal="left" wrapText="1"/>
    </xf>
    <xf numFmtId="0" fontId="14" fillId="0" borderId="0" xfId="0" applyFont="1" applyAlignment="1">
      <alignment horizontal="left" vertical="justify" wrapText="1"/>
    </xf>
    <xf numFmtId="0" fontId="14" fillId="0" borderId="0" xfId="0" applyFont="1" applyAlignment="1">
      <alignment horizontal="justify" wrapText="1"/>
    </xf>
    <xf numFmtId="3" fontId="21" fillId="0" borderId="0" xfId="15" applyNumberFormat="1" applyFont="1" applyBorder="1" applyAlignment="1" quotePrefix="1">
      <alignment horizontal="left" vertical="center"/>
    </xf>
    <xf numFmtId="41" fontId="16" fillId="0" borderId="0" xfId="0" applyNumberFormat="1" applyFont="1" applyBorder="1" applyAlignment="1">
      <alignment horizontal="right"/>
    </xf>
    <xf numFmtId="41" fontId="14" fillId="0" borderId="7" xfId="0" applyNumberFormat="1" applyFont="1" applyBorder="1" applyAlignment="1">
      <alignment horizontal="right" vertical="center"/>
    </xf>
    <xf numFmtId="3" fontId="14" fillId="0" borderId="0" xfId="15" applyNumberFormat="1" applyFont="1" applyBorder="1" applyAlignment="1" quotePrefix="1">
      <alignment wrapText="1"/>
    </xf>
    <xf numFmtId="0" fontId="17" fillId="0" borderId="0" xfId="0" applyFont="1" applyAlignment="1">
      <alignment wrapText="1"/>
    </xf>
    <xf numFmtId="41" fontId="16" fillId="0" borderId="0" xfId="15" applyNumberFormat="1" applyFont="1" applyBorder="1" applyAlignment="1" quotePrefix="1">
      <alignment horizontal="right"/>
    </xf>
    <xf numFmtId="41" fontId="14" fillId="0" borderId="14" xfId="0" applyNumberFormat="1" applyFont="1" applyBorder="1" applyAlignment="1">
      <alignment/>
    </xf>
    <xf numFmtId="0" fontId="17" fillId="0" borderId="1" xfId="0" applyFont="1" applyBorder="1" applyAlignment="1">
      <alignment wrapText="1"/>
    </xf>
    <xf numFmtId="0" fontId="14" fillId="0" borderId="0" xfId="0" applyFont="1" applyBorder="1" applyAlignment="1" quotePrefix="1">
      <alignment horizontal="justify" wrapText="1"/>
    </xf>
    <xf numFmtId="0" fontId="17" fillId="0" borderId="0" xfId="0" applyFont="1" applyAlignment="1">
      <alignment horizontal="justify" wrapText="1"/>
    </xf>
    <xf numFmtId="41" fontId="16" fillId="0" borderId="21" xfId="15" applyNumberFormat="1" applyFont="1" applyFill="1" applyBorder="1" applyAlignment="1">
      <alignment horizontal="right"/>
    </xf>
    <xf numFmtId="0" fontId="14" fillId="0" borderId="0" xfId="0" applyFont="1" applyBorder="1" applyAlignment="1" quotePrefix="1">
      <alignment horizontal="left"/>
    </xf>
    <xf numFmtId="164" fontId="14" fillId="0" borderId="0" xfId="15" applyNumberFormat="1" applyFont="1" applyBorder="1" applyAlignment="1">
      <alignment horizontal="left"/>
    </xf>
    <xf numFmtId="0" fontId="14" fillId="0" borderId="0" xfId="0" applyFont="1" applyBorder="1" applyAlignment="1">
      <alignment horizontal="left" wrapText="1"/>
    </xf>
    <xf numFmtId="0" fontId="14" fillId="0" borderId="0" xfId="0" applyFont="1" applyBorder="1" applyAlignment="1" quotePrefix="1">
      <alignment horizontal="left" wrapText="1"/>
    </xf>
    <xf numFmtId="3" fontId="16" fillId="0" borderId="0" xfId="31" applyNumberFormat="1" applyFont="1" applyBorder="1" applyAlignment="1">
      <alignment horizontal="justify" wrapText="1"/>
      <protection/>
    </xf>
    <xf numFmtId="0" fontId="0" fillId="0" borderId="0" xfId="0" applyAlignment="1">
      <alignment horizontal="justify" wrapText="1"/>
    </xf>
    <xf numFmtId="0" fontId="14" fillId="0" borderId="0" xfId="0" applyFont="1" applyBorder="1" applyAlignment="1">
      <alignment wrapText="1"/>
    </xf>
    <xf numFmtId="0" fontId="17" fillId="0" borderId="0" xfId="0" applyFont="1" applyBorder="1" applyAlignment="1">
      <alignment wrapText="1"/>
    </xf>
    <xf numFmtId="3" fontId="21" fillId="0" borderId="0" xfId="15" applyNumberFormat="1" applyFont="1" applyBorder="1" applyAlignment="1" quotePrefix="1">
      <alignment horizontal="left" wrapText="1"/>
    </xf>
    <xf numFmtId="0" fontId="17" fillId="0" borderId="0" xfId="0" applyFont="1" applyBorder="1" applyAlignment="1">
      <alignment horizontal="left"/>
    </xf>
    <xf numFmtId="3" fontId="21" fillId="0" borderId="14" xfId="15" applyNumberFormat="1" applyFont="1" applyBorder="1" applyAlignment="1" quotePrefix="1">
      <alignment horizontal="left" wrapText="1"/>
    </xf>
    <xf numFmtId="0" fontId="17" fillId="0" borderId="14" xfId="0" applyFont="1" applyBorder="1" applyAlignment="1">
      <alignment horizontal="left"/>
    </xf>
    <xf numFmtId="41" fontId="14" fillId="0" borderId="7" xfId="15" applyNumberFormat="1" applyFont="1" applyBorder="1" applyAlignment="1">
      <alignment horizontal="right"/>
    </xf>
    <xf numFmtId="41" fontId="16" fillId="0" borderId="21" xfId="15" applyNumberFormat="1" applyFont="1" applyBorder="1" applyAlignment="1">
      <alignment horizontal="right"/>
    </xf>
    <xf numFmtId="0" fontId="21" fillId="0" borderId="1" xfId="31" applyFont="1" applyBorder="1" applyAlignment="1">
      <alignment horizontal="left" wrapText="1"/>
      <protection/>
    </xf>
    <xf numFmtId="3" fontId="14" fillId="0" borderId="0" xfId="0" applyNumberFormat="1" applyFont="1" applyAlignment="1" quotePrefix="1">
      <alignment horizontal="justify" wrapText="1"/>
    </xf>
    <xf numFmtId="3" fontId="14" fillId="0" borderId="0" xfId="0" applyNumberFormat="1" applyFont="1" applyAlignment="1">
      <alignment horizontal="justify" wrapText="1"/>
    </xf>
    <xf numFmtId="3" fontId="16" fillId="0" borderId="0" xfId="0" applyNumberFormat="1" applyFont="1" applyAlignment="1">
      <alignment horizontal="justify" wrapText="1"/>
    </xf>
    <xf numFmtId="3" fontId="14" fillId="0" borderId="0" xfId="0" applyNumberFormat="1" applyFont="1" applyAlignment="1">
      <alignment horizontal="justify" vertical="top" wrapText="1"/>
    </xf>
  </cellXfs>
  <cellStyles count="33">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CDKT" xfId="27"/>
    <cellStyle name="Normal_KQKD1" xfId="28"/>
    <cellStyle name="Normal_KQKD2" xfId="29"/>
    <cellStyle name="Normal_Sheet1" xfId="30"/>
    <cellStyle name="Normal_thminh1" xfId="31"/>
    <cellStyle name="Percent" xfId="32"/>
    <cellStyle name="Total" xfId="33"/>
    <cellStyle name="똿뗦먛귟 [0.00]_PRODUCT DETAIL Q1" xfId="34"/>
    <cellStyle name="똿뗦먛귟_PRODUCT DETAIL Q1" xfId="35"/>
    <cellStyle name="믅됞 [0.00]_PRODUCT DETAIL Q1" xfId="36"/>
    <cellStyle name="믅됞_PRODUCT DETAIL Q1" xfId="37"/>
    <cellStyle name="백분율_HOBONG" xfId="38"/>
    <cellStyle name="뷭?_BOOKSHIP" xfId="39"/>
    <cellStyle name="一般_BCTC012000Year.VIET(New)" xfId="40"/>
    <cellStyle name="콤마 [0]_1202" xfId="41"/>
    <cellStyle name="콤마_1202" xfId="42"/>
    <cellStyle name="통화 [0]_1202" xfId="43"/>
    <cellStyle name="통화_1202" xfId="44"/>
    <cellStyle name="표준_(정보부문)월별인원계획" xfId="45"/>
    <cellStyle name="표준_kc-elec system check list"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NGUYEN%20HIEU\NIEN%20DO%202005\NAM%20VIET\CDKT-N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GUYEN%20HIEU\NIEN%20DO%202005\ORIENTAL%20LION\ORIENTAL%20LION-17.10.06-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Cimaron\My%20Documents\BCTC%2006-CN-NG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imaron\My%20Documents\BCTC%2006-%20HOP%20NHAT-NG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Cimaron\My%20Documents\BCTC%2006-%20HOP%20NHAT-gui%20CK.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atanga\BCTC%2006%20VP-CT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1\DANGNG~1\LOCALS~1\TEMP\CHI%20NHANH-TS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DKT"/>
      <sheetName val="KQKD"/>
      <sheetName val="LCTT-GT"/>
      <sheetName val="TM1"/>
      <sheetName val="TM2"/>
      <sheetName val="TMINH3"/>
      <sheetName val="00000000"/>
    </sheetNames>
    <sheetDataSet>
      <sheetData sheetId="0">
        <row r="3">
          <cell r="G3" t="str">
            <v>Ñôn vò tính: VNÑ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TDC-vphong"/>
      <sheetName val="BCTGD"/>
      <sheetName val="CDKT"/>
      <sheetName val="KQKD"/>
      <sheetName val="LCTT-TT"/>
      <sheetName val="TM"/>
      <sheetName val="00000000"/>
      <sheetName val="BIA"/>
      <sheetName val="TITLE"/>
      <sheetName val="MUCLUC"/>
      <sheetName val="CONTENT"/>
      <sheetName val="BC HDQT"/>
      <sheetName val="BOM"/>
      <sheetName val="BS"/>
      <sheetName val="INCOME"/>
      <sheetName val="CASHFLOW"/>
      <sheetName val="NOTE"/>
      <sheetName val="TMINH"/>
    </sheetNames>
    <sheetDataSet>
      <sheetData sheetId="3">
        <row r="3">
          <cell r="I3" t="str">
            <v>Ñôn vò tính : VNÑ</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TDC"/>
      <sheetName val="BIA"/>
      <sheetName val="MUCLUC"/>
      <sheetName val="BCTGD"/>
      <sheetName val="BCKT"/>
      <sheetName val="CDKT"/>
      <sheetName val="KQKD"/>
      <sheetName val="LCTT-TT"/>
      <sheetName val="TM"/>
      <sheetName val="00000000"/>
    </sheetNames>
    <sheetDataSet>
      <sheetData sheetId="0">
        <row r="36">
          <cell r="D36">
            <v>-1018550282.85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eu giai 138 &amp; 338"/>
      <sheetName val="BTDC-vphong"/>
      <sheetName val="BIA"/>
      <sheetName val="MUCLUC"/>
      <sheetName val="BCTGD"/>
      <sheetName val="BCKT"/>
      <sheetName val="CDKT"/>
      <sheetName val="KQKD"/>
      <sheetName val="LCTT-TT"/>
      <sheetName val="TM"/>
      <sheetName val="00000000"/>
    </sheetNames>
    <sheetDataSet>
      <sheetData sheetId="1">
        <row r="37">
          <cell r="D37">
            <v>-1190344974.25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TDC-vphong"/>
      <sheetName val="BCTGD"/>
      <sheetName val="CDKT"/>
      <sheetName val="KQKD"/>
      <sheetName val="LCTT-TT"/>
      <sheetName val="TM"/>
      <sheetName val="00000000"/>
    </sheetNames>
    <sheetDataSet>
      <sheetData sheetId="2">
        <row r="1">
          <cell r="A1" t="str">
            <v>COÂNG TY COÅ PHAÀN THUÛY SAÛN SOÁ 4</v>
          </cell>
        </row>
        <row r="15">
          <cell r="G15">
            <v>37664136514</v>
          </cell>
          <cell r="I15">
            <v>19892948012</v>
          </cell>
        </row>
        <row r="16">
          <cell r="G16">
            <v>7997040709</v>
          </cell>
          <cell r="I16">
            <v>2884807408</v>
          </cell>
        </row>
        <row r="103">
          <cell r="G103" t="str">
            <v>Toång Giaùm Ñoác</v>
          </cell>
        </row>
      </sheetData>
      <sheetData sheetId="3">
        <row r="12">
          <cell r="E12">
            <v>157570676</v>
          </cell>
          <cell r="G12">
            <v>337127472</v>
          </cell>
        </row>
        <row r="27">
          <cell r="E27">
            <v>6059543811.35</v>
          </cell>
          <cell r="G27">
            <v>3110482337</v>
          </cell>
        </row>
      </sheetData>
      <sheetData sheetId="4">
        <row r="41">
          <cell r="I41">
            <v>1764061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TDC"/>
      <sheetName val="BIA"/>
      <sheetName val="MUCLUC"/>
      <sheetName val="BCTGD"/>
      <sheetName val="BCKT"/>
      <sheetName val="CDKT"/>
      <sheetName val="KQKD"/>
      <sheetName val="LCTT-TT"/>
      <sheetName val="TM"/>
      <sheetName val="00000000"/>
    </sheetNames>
    <sheetDataSet>
      <sheetData sheetId="6">
        <row r="21">
          <cell r="E21">
            <v>2928176384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TDC-vphong"/>
      <sheetName val="BCTGD"/>
      <sheetName val="CDKT"/>
      <sheetName val="KQKD"/>
      <sheetName val="LCTT-TT"/>
      <sheetName val="TM"/>
      <sheetName val="00000000"/>
      <sheetName val="BTDC"/>
      <sheetName val="BIA"/>
      <sheetName val="MUCLUC"/>
      <sheetName val="BCKT"/>
    </sheetNames>
    <sheetDataSet>
      <sheetData sheetId="3">
        <row r="21">
          <cell r="E21">
            <v>4028453019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1"/>
  <sheetViews>
    <sheetView showGridLines="0" workbookViewId="0" topLeftCell="A8">
      <selection activeCell="D23" sqref="D23"/>
    </sheetView>
  </sheetViews>
  <sheetFormatPr defaultColWidth="8.796875" defaultRowHeight="14.25"/>
  <cols>
    <col min="1" max="1" width="4.8984375" style="3" customWidth="1"/>
    <col min="2" max="2" width="6.09765625" style="3" customWidth="1"/>
    <col min="3" max="3" width="34.59765625" style="3" customWidth="1"/>
    <col min="4" max="4" width="11.69921875" style="3" customWidth="1"/>
    <col min="5" max="5" width="11.5" style="3" customWidth="1"/>
    <col min="6" max="6" width="12" style="3" customWidth="1"/>
    <col min="7" max="7" width="11.8984375" style="3" customWidth="1"/>
    <col min="8" max="8" width="14.8984375" style="3" customWidth="1"/>
    <col min="9" max="16384" width="9" style="3" customWidth="1"/>
  </cols>
  <sheetData>
    <row r="1" spans="1:7" ht="15.75">
      <c r="A1" s="528" t="s">
        <v>593</v>
      </c>
      <c r="B1" s="529"/>
      <c r="C1" s="530"/>
      <c r="D1" s="530"/>
      <c r="E1" s="226"/>
      <c r="F1" s="226"/>
      <c r="G1" s="226"/>
    </row>
    <row r="2" spans="1:7" ht="15.75">
      <c r="A2" s="226" t="s">
        <v>403</v>
      </c>
      <c r="B2" s="531"/>
      <c r="C2" s="226"/>
      <c r="D2" s="226"/>
      <c r="E2" s="226"/>
      <c r="F2" s="226"/>
      <c r="G2" s="226"/>
    </row>
    <row r="3" spans="1:7" ht="15.75">
      <c r="A3" s="226" t="s">
        <v>404</v>
      </c>
      <c r="B3" s="531"/>
      <c r="C3" s="226"/>
      <c r="D3" s="226"/>
      <c r="E3" s="226"/>
      <c r="F3" s="226"/>
      <c r="G3" s="226"/>
    </row>
    <row r="4" spans="1:7" ht="15.75">
      <c r="A4" s="53"/>
      <c r="B4" s="160"/>
      <c r="C4" s="61"/>
      <c r="D4" s="61"/>
      <c r="E4" s="61"/>
      <c r="F4" s="61"/>
      <c r="G4" s="53" t="s">
        <v>405</v>
      </c>
    </row>
    <row r="5" spans="1:7" ht="15.75">
      <c r="A5" s="51" t="s">
        <v>406</v>
      </c>
      <c r="B5" s="51" t="s">
        <v>407</v>
      </c>
      <c r="C5" s="532" t="s">
        <v>408</v>
      </c>
      <c r="D5" s="925" t="s">
        <v>409</v>
      </c>
      <c r="E5" s="926"/>
      <c r="F5" s="925" t="s">
        <v>410</v>
      </c>
      <c r="G5" s="926"/>
    </row>
    <row r="6" spans="1:7" ht="15.75">
      <c r="A6" s="47"/>
      <c r="B6" s="47" t="s">
        <v>411</v>
      </c>
      <c r="C6" s="69"/>
      <c r="D6" s="44" t="s">
        <v>412</v>
      </c>
      <c r="E6" s="44" t="s">
        <v>413</v>
      </c>
      <c r="F6" s="44" t="s">
        <v>412</v>
      </c>
      <c r="G6" s="44" t="s">
        <v>413</v>
      </c>
    </row>
    <row r="7" spans="1:7" ht="36" customHeight="1">
      <c r="A7" s="45" t="s">
        <v>414</v>
      </c>
      <c r="B7" s="46" t="s">
        <v>415</v>
      </c>
      <c r="C7" s="526" t="s">
        <v>32</v>
      </c>
      <c r="D7" s="533"/>
      <c r="E7" s="533"/>
      <c r="F7" s="533"/>
      <c r="G7" s="533"/>
    </row>
    <row r="8" spans="1:8" ht="24.75" customHeight="1">
      <c r="A8" s="47"/>
      <c r="B8" s="48"/>
      <c r="C8" s="187" t="s">
        <v>416</v>
      </c>
      <c r="D8" s="534">
        <v>6010085</v>
      </c>
      <c r="E8" s="534">
        <f>D8</f>
        <v>6010085</v>
      </c>
      <c r="F8" s="534"/>
      <c r="G8" s="534">
        <f>E8</f>
        <v>6010085</v>
      </c>
      <c r="H8" s="535">
        <f>SUM(G8:G12)</f>
        <v>9128715</v>
      </c>
    </row>
    <row r="9" spans="1:7" ht="36" customHeight="1">
      <c r="A9" s="49">
        <v>3</v>
      </c>
      <c r="B9" s="50" t="s">
        <v>417</v>
      </c>
      <c r="C9" s="526" t="s">
        <v>33</v>
      </c>
      <c r="D9" s="527"/>
      <c r="E9" s="527"/>
      <c r="F9" s="527"/>
      <c r="G9" s="527"/>
    </row>
    <row r="10" spans="1:8" ht="26.25" customHeight="1">
      <c r="A10" s="47"/>
      <c r="B10" s="48"/>
      <c r="C10" s="187" t="s">
        <v>35</v>
      </c>
      <c r="D10" s="534">
        <v>440605</v>
      </c>
      <c r="E10" s="534">
        <f>D10</f>
        <v>440605</v>
      </c>
      <c r="F10" s="534"/>
      <c r="G10" s="534">
        <f>E10</f>
        <v>440605</v>
      </c>
      <c r="H10" s="535">
        <f>G12+G8</f>
        <v>8688110</v>
      </c>
    </row>
    <row r="11" spans="1:7" ht="36" customHeight="1">
      <c r="A11" s="45"/>
      <c r="B11" s="46"/>
      <c r="C11" s="526" t="s">
        <v>34</v>
      </c>
      <c r="D11" s="533"/>
      <c r="E11" s="533"/>
      <c r="F11" s="533"/>
      <c r="G11" s="533"/>
    </row>
    <row r="12" spans="1:7" ht="19.5" customHeight="1">
      <c r="A12" s="47"/>
      <c r="B12" s="48"/>
      <c r="C12" s="187" t="s">
        <v>416</v>
      </c>
      <c r="D12" s="534">
        <v>2678025</v>
      </c>
      <c r="E12" s="534">
        <f>D12</f>
        <v>2678025</v>
      </c>
      <c r="F12" s="534"/>
      <c r="G12" s="534">
        <f>E12</f>
        <v>2678025</v>
      </c>
    </row>
    <row r="13" spans="1:7" ht="15.75">
      <c r="A13" s="49"/>
      <c r="B13" s="50"/>
      <c r="C13" s="536"/>
      <c r="D13" s="527"/>
      <c r="E13" s="527"/>
      <c r="F13" s="527"/>
      <c r="G13" s="527"/>
    </row>
    <row r="14" spans="1:7" ht="34.5" customHeight="1">
      <c r="A14" s="49">
        <v>4</v>
      </c>
      <c r="B14" s="50" t="s">
        <v>418</v>
      </c>
      <c r="C14" s="537" t="s">
        <v>3</v>
      </c>
      <c r="D14" s="527"/>
      <c r="E14" s="527"/>
      <c r="F14" s="527"/>
      <c r="G14" s="527"/>
    </row>
    <row r="15" spans="1:7" ht="24" customHeight="1">
      <c r="A15" s="47"/>
      <c r="B15" s="48"/>
      <c r="C15" s="538" t="s">
        <v>420</v>
      </c>
      <c r="D15" s="534">
        <v>88057768</v>
      </c>
      <c r="E15" s="534">
        <f>D15</f>
        <v>88057768</v>
      </c>
      <c r="F15" s="534">
        <f>D15</f>
        <v>88057768</v>
      </c>
      <c r="G15" s="534"/>
    </row>
    <row r="16" spans="1:7" ht="24" customHeight="1">
      <c r="A16" s="49"/>
      <c r="B16" s="50"/>
      <c r="C16" s="526" t="s">
        <v>590</v>
      </c>
      <c r="D16" s="527"/>
      <c r="E16" s="533"/>
      <c r="F16" s="533"/>
      <c r="G16" s="51"/>
    </row>
    <row r="17" spans="1:7" ht="24" customHeight="1">
      <c r="A17" s="49"/>
      <c r="B17" s="50"/>
      <c r="C17" s="184" t="s">
        <v>591</v>
      </c>
      <c r="D17" s="527">
        <v>200000000</v>
      </c>
      <c r="E17" s="527">
        <f>D17</f>
        <v>200000000</v>
      </c>
      <c r="F17" s="527"/>
      <c r="G17" s="527">
        <f>E17</f>
        <v>200000000</v>
      </c>
    </row>
    <row r="18" spans="1:7" ht="24" customHeight="1">
      <c r="A18" s="49"/>
      <c r="B18" s="50"/>
      <c r="C18" s="187" t="s">
        <v>592</v>
      </c>
      <c r="D18" s="534">
        <f>E18</f>
        <v>232652000</v>
      </c>
      <c r="E18" s="534">
        <v>232652000</v>
      </c>
      <c r="F18" s="534"/>
      <c r="G18" s="534"/>
    </row>
    <row r="19" spans="1:7" ht="19.5" customHeight="1">
      <c r="A19" s="51">
        <v>5</v>
      </c>
      <c r="B19" s="46"/>
      <c r="C19" s="526" t="s">
        <v>20</v>
      </c>
      <c r="D19" s="533"/>
      <c r="E19" s="533"/>
      <c r="F19" s="533"/>
      <c r="G19" s="533"/>
    </row>
    <row r="20" spans="1:7" ht="19.5" customHeight="1">
      <c r="A20" s="49"/>
      <c r="B20" s="50"/>
      <c r="C20" s="538" t="s">
        <v>21</v>
      </c>
      <c r="D20" s="534">
        <v>48000</v>
      </c>
      <c r="E20" s="527">
        <f>D20</f>
        <v>48000</v>
      </c>
      <c r="F20" s="527">
        <v>48000</v>
      </c>
      <c r="G20" s="527"/>
    </row>
    <row r="21" spans="1:7" ht="21.75" customHeight="1">
      <c r="A21" s="51">
        <v>6</v>
      </c>
      <c r="B21" s="46" t="s">
        <v>419</v>
      </c>
      <c r="C21" s="526" t="s">
        <v>588</v>
      </c>
      <c r="D21" s="527"/>
      <c r="E21" s="533"/>
      <c r="F21" s="533"/>
      <c r="G21" s="51"/>
    </row>
    <row r="22" spans="1:7" ht="19.5" customHeight="1">
      <c r="A22" s="47"/>
      <c r="B22" s="48"/>
      <c r="C22" s="184" t="s">
        <v>589</v>
      </c>
      <c r="D22" s="534" t="e">
        <f>#REF!</f>
        <v>#REF!</v>
      </c>
      <c r="E22" s="534" t="e">
        <f>D22</f>
        <v>#REF!</v>
      </c>
      <c r="F22" s="534" t="e">
        <f>E22</f>
        <v>#REF!</v>
      </c>
      <c r="G22" s="534"/>
    </row>
    <row r="23" spans="1:7" ht="30" customHeight="1">
      <c r="A23" s="44"/>
      <c r="B23" s="52"/>
      <c r="C23" s="539" t="s">
        <v>122</v>
      </c>
      <c r="D23" s="540" t="e">
        <f>D8+D10+D15+D22</f>
        <v>#REF!</v>
      </c>
      <c r="E23" s="540" t="e">
        <f>E8+E10+E15+E22</f>
        <v>#REF!</v>
      </c>
      <c r="F23" s="540" t="e">
        <f>SUM(F7:F22)</f>
        <v>#REF!</v>
      </c>
      <c r="G23" s="540">
        <f>SUM(G7:G18)</f>
        <v>209128715</v>
      </c>
    </row>
    <row r="24" spans="1:7" ht="15.75">
      <c r="A24" s="53"/>
      <c r="B24" s="54"/>
      <c r="C24" s="54"/>
      <c r="D24" s="55"/>
      <c r="E24" s="55"/>
      <c r="F24" s="55"/>
      <c r="G24" s="55"/>
    </row>
    <row r="25" ht="15.75">
      <c r="B25" s="53" t="s">
        <v>26</v>
      </c>
    </row>
    <row r="26" spans="2:4" ht="15.75">
      <c r="B26" s="53" t="s">
        <v>27</v>
      </c>
      <c r="D26" s="234" t="e">
        <f>F23</f>
        <v>#REF!</v>
      </c>
    </row>
    <row r="27" spans="2:4" ht="15.75">
      <c r="B27" s="53" t="s">
        <v>28</v>
      </c>
      <c r="D27" s="234">
        <f>G23</f>
        <v>209128715</v>
      </c>
    </row>
    <row r="28" spans="2:4" ht="15.75">
      <c r="B28" s="53" t="s">
        <v>29</v>
      </c>
      <c r="D28" s="234" t="e">
        <f>D27-D26</f>
        <v>#REF!</v>
      </c>
    </row>
    <row r="29" spans="2:4" ht="15.75">
      <c r="B29" s="61"/>
      <c r="D29" s="4"/>
    </row>
    <row r="30" spans="2:7" ht="15.75">
      <c r="B30" s="541" t="s">
        <v>30</v>
      </c>
      <c r="D30" s="234" t="e">
        <f>D28</f>
        <v>#REF!</v>
      </c>
      <c r="E30" s="535">
        <f>'[3]BTDC'!$D$36</f>
        <v>-1018550282.85</v>
      </c>
      <c r="F30" s="535" t="e">
        <f>E30+D30</f>
        <v>#REF!</v>
      </c>
      <c r="G30" s="535">
        <f>'[4]BTDC-vphong'!$D$37</f>
        <v>-1190344974.25</v>
      </c>
    </row>
    <row r="31" ht="14.25">
      <c r="G31" s="535" t="e">
        <f>G30-F30</f>
        <v>#REF!</v>
      </c>
    </row>
  </sheetData>
  <mergeCells count="2">
    <mergeCell ref="D5:E5"/>
    <mergeCell ref="F5:G5"/>
  </mergeCells>
  <printOptions/>
  <pageMargins left="0.75" right="0.17" top="0.5" bottom="0.25" header="0.25"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42"/>
  <sheetViews>
    <sheetView workbookViewId="0" topLeftCell="A4">
      <selection activeCell="B18" sqref="B18"/>
    </sheetView>
  </sheetViews>
  <sheetFormatPr defaultColWidth="8.796875" defaultRowHeight="14.25"/>
  <cols>
    <col min="1" max="1" width="7.5" style="0" customWidth="1"/>
    <col min="2" max="2" width="35.8984375" style="0" customWidth="1"/>
    <col min="3" max="3" width="20.5" style="0" customWidth="1"/>
    <col min="4" max="4" width="23.19921875" style="0" customWidth="1"/>
  </cols>
  <sheetData>
    <row r="1" ht="16.5">
      <c r="A1" s="851" t="s">
        <v>270</v>
      </c>
    </row>
    <row r="2" ht="16.5">
      <c r="A2" s="13"/>
    </row>
    <row r="3" spans="1:4" ht="27">
      <c r="A3" s="927" t="s">
        <v>271</v>
      </c>
      <c r="B3" s="927"/>
      <c r="C3" s="927"/>
      <c r="D3" s="927"/>
    </row>
    <row r="4" spans="1:4" ht="18.75" thickBot="1">
      <c r="A4" s="928" t="s">
        <v>595</v>
      </c>
      <c r="B4" s="928"/>
      <c r="C4" s="928"/>
      <c r="D4" s="928"/>
    </row>
    <row r="5" spans="1:4" ht="18.75" thickBot="1">
      <c r="A5" s="852" t="s">
        <v>406</v>
      </c>
      <c r="B5" s="853" t="s">
        <v>272</v>
      </c>
      <c r="C5" s="854" t="s">
        <v>273</v>
      </c>
      <c r="D5" s="855" t="s">
        <v>274</v>
      </c>
    </row>
    <row r="6" spans="1:4" ht="18">
      <c r="A6" s="856" t="s">
        <v>275</v>
      </c>
      <c r="B6" s="857" t="s">
        <v>276</v>
      </c>
      <c r="C6" s="858">
        <f>SUM(C7:C11)</f>
        <v>63848523591</v>
      </c>
      <c r="D6" s="858">
        <f>SUM(D7:D11)</f>
        <v>66239842714</v>
      </c>
    </row>
    <row r="7" spans="1:4" ht="17.25">
      <c r="A7" s="859">
        <v>1</v>
      </c>
      <c r="B7" s="860" t="s">
        <v>264</v>
      </c>
      <c r="C7" s="861">
        <v>4027351538</v>
      </c>
      <c r="D7" s="861">
        <v>855899128</v>
      </c>
    </row>
    <row r="8" spans="1:4" ht="17.25">
      <c r="A8" s="859">
        <v>2</v>
      </c>
      <c r="B8" s="860" t="s">
        <v>277</v>
      </c>
      <c r="C8" s="861"/>
      <c r="D8" s="861"/>
    </row>
    <row r="9" spans="1:4" ht="17.25">
      <c r="A9" s="859">
        <v>3</v>
      </c>
      <c r="B9" s="860" t="s">
        <v>278</v>
      </c>
      <c r="C9" s="861">
        <v>36275934855</v>
      </c>
      <c r="D9" s="861">
        <v>46326463317</v>
      </c>
    </row>
    <row r="10" spans="1:4" ht="17.25">
      <c r="A10" s="859">
        <v>4</v>
      </c>
      <c r="B10" s="860" t="s">
        <v>279</v>
      </c>
      <c r="C10" s="861">
        <v>21020119602</v>
      </c>
      <c r="D10" s="861">
        <v>15535970570</v>
      </c>
    </row>
    <row r="11" spans="1:4" ht="17.25">
      <c r="A11" s="859">
        <v>5</v>
      </c>
      <c r="B11" s="860" t="s">
        <v>280</v>
      </c>
      <c r="C11" s="861">
        <v>2525117596</v>
      </c>
      <c r="D11" s="861">
        <v>3521509699</v>
      </c>
    </row>
    <row r="12" spans="1:4" ht="18">
      <c r="A12" s="862" t="s">
        <v>281</v>
      </c>
      <c r="B12" s="863" t="s">
        <v>282</v>
      </c>
      <c r="C12" s="864">
        <f>C13+C14+C18+C20+C21</f>
        <v>77801536452</v>
      </c>
      <c r="D12" s="864">
        <f>SUM(D13:D14,D21)</f>
        <v>27463540236</v>
      </c>
    </row>
    <row r="13" spans="1:4" ht="17.25">
      <c r="A13" s="859">
        <v>1</v>
      </c>
      <c r="B13" s="860" t="s">
        <v>283</v>
      </c>
      <c r="C13" s="861">
        <v>0</v>
      </c>
      <c r="D13" s="861">
        <v>0</v>
      </c>
    </row>
    <row r="14" spans="1:4" ht="17.25">
      <c r="A14" s="859">
        <v>2</v>
      </c>
      <c r="B14" s="860" t="s">
        <v>284</v>
      </c>
      <c r="C14" s="861">
        <f>SUM(C15:C17)</f>
        <v>32842200973</v>
      </c>
      <c r="D14" s="861">
        <f>SUM(D15:D18)</f>
        <v>25635431613</v>
      </c>
    </row>
    <row r="15" spans="1:4" ht="17.25">
      <c r="A15" s="859"/>
      <c r="B15" s="860" t="s">
        <v>285</v>
      </c>
      <c r="C15" s="861">
        <v>32842200973</v>
      </c>
      <c r="D15" s="861">
        <v>24855129377</v>
      </c>
    </row>
    <row r="16" spans="1:4" ht="17.25">
      <c r="A16" s="859"/>
      <c r="B16" s="860" t="s">
        <v>286</v>
      </c>
      <c r="C16" s="861"/>
      <c r="D16" s="861"/>
    </row>
    <row r="17" spans="1:4" ht="17.25">
      <c r="A17" s="859"/>
      <c r="B17" s="860" t="s">
        <v>287</v>
      </c>
      <c r="C17" s="861"/>
      <c r="D17" s="861"/>
    </row>
    <row r="18" spans="1:4" ht="17.25">
      <c r="A18" s="859"/>
      <c r="B18" s="860" t="s">
        <v>288</v>
      </c>
      <c r="C18" s="861">
        <v>43136074051</v>
      </c>
      <c r="D18" s="861">
        <v>780302236</v>
      </c>
    </row>
    <row r="19" spans="1:4" ht="17.25">
      <c r="A19" s="859">
        <v>3</v>
      </c>
      <c r="B19" s="860" t="s">
        <v>289</v>
      </c>
      <c r="C19" s="861"/>
      <c r="D19" s="861"/>
    </row>
    <row r="20" spans="1:4" ht="17.25">
      <c r="A20" s="859">
        <v>4</v>
      </c>
      <c r="B20" s="860" t="s">
        <v>290</v>
      </c>
      <c r="C20" s="892">
        <v>76032000</v>
      </c>
      <c r="D20" s="865"/>
    </row>
    <row r="21" spans="1:4" ht="17.25">
      <c r="A21" s="859">
        <v>5</v>
      </c>
      <c r="B21" s="860" t="s">
        <v>291</v>
      </c>
      <c r="C21" s="861">
        <v>1747229428</v>
      </c>
      <c r="D21" s="861">
        <v>1828108623</v>
      </c>
    </row>
    <row r="22" spans="1:4" ht="18">
      <c r="A22" s="862" t="s">
        <v>292</v>
      </c>
      <c r="B22" s="866" t="s">
        <v>139</v>
      </c>
      <c r="C22" s="864">
        <f>C12+C6</f>
        <v>141650060043</v>
      </c>
      <c r="D22" s="864">
        <f>D12+D6</f>
        <v>93703382950</v>
      </c>
    </row>
    <row r="23" spans="1:4" ht="18">
      <c r="A23" s="862" t="s">
        <v>293</v>
      </c>
      <c r="B23" s="867" t="s">
        <v>294</v>
      </c>
      <c r="C23" s="864">
        <f>SUM(C24:C25)</f>
        <v>28473848206</v>
      </c>
      <c r="D23" s="864">
        <f>SUM(D24:D25)</f>
        <v>40448792190</v>
      </c>
    </row>
    <row r="24" spans="1:4" ht="17.25">
      <c r="A24" s="859">
        <v>1</v>
      </c>
      <c r="B24" s="860" t="s">
        <v>295</v>
      </c>
      <c r="C24" s="861">
        <v>19680484427</v>
      </c>
      <c r="D24" s="861">
        <v>32067690017</v>
      </c>
    </row>
    <row r="25" spans="1:4" ht="17.25">
      <c r="A25" s="859">
        <v>2</v>
      </c>
      <c r="B25" s="860" t="s">
        <v>296</v>
      </c>
      <c r="C25" s="861">
        <v>8793363779</v>
      </c>
      <c r="D25" s="861">
        <v>8381102173</v>
      </c>
    </row>
    <row r="26" spans="1:4" ht="17.25">
      <c r="A26" s="859">
        <v>3</v>
      </c>
      <c r="B26" s="860" t="s">
        <v>297</v>
      </c>
      <c r="C26" s="861"/>
      <c r="D26" s="861"/>
    </row>
    <row r="27" spans="1:4" ht="18">
      <c r="A27" s="862" t="s">
        <v>298</v>
      </c>
      <c r="B27" s="867" t="s">
        <v>64</v>
      </c>
      <c r="C27" s="868">
        <f>C28+C37</f>
        <v>113176211837</v>
      </c>
      <c r="D27" s="868">
        <f>D28+D37</f>
        <v>53254590760</v>
      </c>
    </row>
    <row r="28" spans="1:4" ht="18">
      <c r="A28" s="859">
        <v>1</v>
      </c>
      <c r="B28" s="860" t="s">
        <v>64</v>
      </c>
      <c r="C28" s="868">
        <f>SUM(C29:C35)</f>
        <v>113570641837</v>
      </c>
      <c r="D28" s="868">
        <f>SUM(D29:D35)</f>
        <v>53656838012</v>
      </c>
    </row>
    <row r="29" spans="1:4" ht="17.25">
      <c r="A29" s="859" t="s">
        <v>299</v>
      </c>
      <c r="B29" s="860" t="s">
        <v>300</v>
      </c>
      <c r="C29" s="861">
        <v>54483550000</v>
      </c>
      <c r="D29" s="861">
        <v>30000000000</v>
      </c>
    </row>
    <row r="30" spans="1:4" ht="17.25">
      <c r="A30" s="859"/>
      <c r="B30" s="860" t="s">
        <v>301</v>
      </c>
      <c r="C30" s="861">
        <v>42096692432</v>
      </c>
      <c r="D30" s="861">
        <v>11955733050</v>
      </c>
    </row>
    <row r="31" spans="1:4" ht="17.25">
      <c r="A31" s="859" t="s">
        <v>130</v>
      </c>
      <c r="B31" s="860" t="s">
        <v>302</v>
      </c>
      <c r="C31" s="861"/>
      <c r="D31" s="861"/>
    </row>
    <row r="32" spans="1:4" ht="17.25">
      <c r="A32" s="859"/>
      <c r="B32" s="860" t="s">
        <v>303</v>
      </c>
      <c r="C32" s="861"/>
      <c r="D32" s="861"/>
    </row>
    <row r="33" spans="1:4" ht="17.25">
      <c r="A33" s="859"/>
      <c r="B33" s="860" t="s">
        <v>304</v>
      </c>
      <c r="C33" s="861"/>
      <c r="D33" s="861"/>
    </row>
    <row r="34" spans="1:4" ht="17.25">
      <c r="A34" s="859"/>
      <c r="B34" s="860" t="s">
        <v>305</v>
      </c>
      <c r="C34" s="861">
        <f>5287848558+1695000000</f>
        <v>6982848558</v>
      </c>
      <c r="D34" s="861">
        <f>5166798714+1350000000</f>
        <v>6516798714</v>
      </c>
    </row>
    <row r="35" spans="1:4" ht="17.25">
      <c r="A35" s="859"/>
      <c r="B35" s="860" t="s">
        <v>306</v>
      </c>
      <c r="C35" s="861">
        <v>10007550847</v>
      </c>
      <c r="D35" s="861">
        <v>5184306248</v>
      </c>
    </row>
    <row r="36" spans="1:4" ht="17.25">
      <c r="A36" s="859"/>
      <c r="B36" s="860" t="s">
        <v>307</v>
      </c>
      <c r="C36" s="861">
        <v>0</v>
      </c>
      <c r="D36" s="861">
        <v>0</v>
      </c>
    </row>
    <row r="37" spans="1:4" ht="18">
      <c r="A37" s="859">
        <v>2</v>
      </c>
      <c r="B37" s="860" t="s">
        <v>308</v>
      </c>
      <c r="C37" s="868">
        <f>C38</f>
        <v>-394430000</v>
      </c>
      <c r="D37" s="868">
        <f>D38</f>
        <v>-402247252</v>
      </c>
    </row>
    <row r="38" spans="1:4" ht="17.25">
      <c r="A38" s="869"/>
      <c r="B38" s="870" t="s">
        <v>309</v>
      </c>
      <c r="C38" s="871">
        <v>-394430000</v>
      </c>
      <c r="D38" s="871">
        <v>-402247252</v>
      </c>
    </row>
    <row r="39" spans="1:4" ht="17.25">
      <c r="A39" s="869"/>
      <c r="B39" s="870" t="s">
        <v>310</v>
      </c>
      <c r="C39" s="871"/>
      <c r="D39" s="871"/>
    </row>
    <row r="40" spans="1:4" ht="17.25">
      <c r="A40" s="869"/>
      <c r="B40" s="870" t="s">
        <v>311</v>
      </c>
      <c r="C40" s="871"/>
      <c r="D40" s="871"/>
    </row>
    <row r="41" spans="1:4" ht="18.75" thickBot="1">
      <c r="A41" s="872" t="s">
        <v>312</v>
      </c>
      <c r="B41" s="873" t="s">
        <v>142</v>
      </c>
      <c r="C41" s="874">
        <f>C27+C23</f>
        <v>141650060043</v>
      </c>
      <c r="D41" s="874">
        <f>D27+D23</f>
        <v>93703382950</v>
      </c>
    </row>
    <row r="42" spans="1:4" ht="17.25">
      <c r="A42" s="875"/>
      <c r="B42" s="876"/>
      <c r="C42" s="877"/>
      <c r="D42" s="877"/>
    </row>
  </sheetData>
  <mergeCells count="2">
    <mergeCell ref="A3:D3"/>
    <mergeCell ref="A4:D4"/>
  </mergeCells>
  <printOptions/>
  <pageMargins left="0.5" right="0.25" top="0.5" bottom="0.5" header="0.25" footer="0.2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31"/>
  <sheetViews>
    <sheetView workbookViewId="0" topLeftCell="A1">
      <selection activeCell="C27" sqref="C27:D27"/>
    </sheetView>
  </sheetViews>
  <sheetFormatPr defaultColWidth="8.796875" defaultRowHeight="14.25"/>
  <cols>
    <col min="1" max="1" width="4.8984375" style="0" customWidth="1"/>
    <col min="2" max="2" width="46" style="0" customWidth="1"/>
    <col min="3" max="3" width="19.59765625" style="0" customWidth="1"/>
    <col min="4" max="4" width="19.3984375" style="0" customWidth="1"/>
  </cols>
  <sheetData>
    <row r="1" ht="16.5">
      <c r="A1" s="13"/>
    </row>
    <row r="2" spans="1:4" ht="21">
      <c r="A2" s="13"/>
      <c r="B2" s="929" t="s">
        <v>313</v>
      </c>
      <c r="C2" s="929"/>
      <c r="D2" s="929"/>
    </row>
    <row r="3" spans="1:4" ht="18">
      <c r="A3" s="928" t="s">
        <v>595</v>
      </c>
      <c r="B3" s="928"/>
      <c r="C3" s="928"/>
      <c r="D3" s="928"/>
    </row>
    <row r="4" ht="17.25" thickBot="1">
      <c r="A4" s="13"/>
    </row>
    <row r="5" spans="1:4" ht="19.5" thickBot="1" thickTop="1">
      <c r="A5" s="878" t="s">
        <v>406</v>
      </c>
      <c r="B5" s="879" t="s">
        <v>136</v>
      </c>
      <c r="C5" s="880" t="s">
        <v>595</v>
      </c>
      <c r="D5" s="881" t="s">
        <v>314</v>
      </c>
    </row>
    <row r="6" spans="1:4" ht="18.75" thickTop="1">
      <c r="A6" s="882">
        <v>1</v>
      </c>
      <c r="B6" s="883" t="s">
        <v>315</v>
      </c>
      <c r="C6" s="884">
        <v>46734625452</v>
      </c>
      <c r="D6" s="884">
        <v>173438001922</v>
      </c>
    </row>
    <row r="7" spans="1:4" ht="18">
      <c r="A7" s="885">
        <v>2</v>
      </c>
      <c r="B7" s="886" t="s">
        <v>372</v>
      </c>
      <c r="C7" s="887">
        <v>436566592</v>
      </c>
      <c r="D7" s="887">
        <v>533558368</v>
      </c>
    </row>
    <row r="8" spans="1:4" ht="18">
      <c r="A8" s="885">
        <v>3</v>
      </c>
      <c r="B8" s="886" t="s">
        <v>552</v>
      </c>
      <c r="C8" s="887">
        <f>C6-C7</f>
        <v>46298058860</v>
      </c>
      <c r="D8" s="887">
        <f>D6-D7</f>
        <v>172904443554</v>
      </c>
    </row>
    <row r="9" spans="1:4" ht="18">
      <c r="A9" s="885">
        <v>4</v>
      </c>
      <c r="B9" s="886" t="s">
        <v>67</v>
      </c>
      <c r="C9" s="887">
        <v>40324918261</v>
      </c>
      <c r="D9" s="887">
        <v>153313375225</v>
      </c>
    </row>
    <row r="10" spans="1:4" ht="18">
      <c r="A10" s="885">
        <v>5</v>
      </c>
      <c r="B10" s="886" t="s">
        <v>316</v>
      </c>
      <c r="C10" s="887">
        <f>C8-C9</f>
        <v>5973140599</v>
      </c>
      <c r="D10" s="887">
        <f>D8-D9</f>
        <v>19591068329</v>
      </c>
    </row>
    <row r="11" spans="1:4" ht="18">
      <c r="A11" s="885">
        <v>6</v>
      </c>
      <c r="B11" s="886" t="s">
        <v>317</v>
      </c>
      <c r="C11" s="887">
        <v>202462214</v>
      </c>
      <c r="D11" s="887">
        <v>645625427</v>
      </c>
    </row>
    <row r="12" spans="1:4" ht="18">
      <c r="A12" s="885">
        <v>7</v>
      </c>
      <c r="B12" s="886" t="s">
        <v>318</v>
      </c>
      <c r="C12" s="887">
        <v>162077461</v>
      </c>
      <c r="D12" s="887">
        <v>898186027</v>
      </c>
    </row>
    <row r="13" spans="1:4" ht="18">
      <c r="A13" s="885">
        <v>8</v>
      </c>
      <c r="B13" s="886" t="s">
        <v>319</v>
      </c>
      <c r="C13" s="887">
        <v>1910045546</v>
      </c>
      <c r="D13" s="887">
        <v>8452082590</v>
      </c>
    </row>
    <row r="14" spans="1:4" ht="18">
      <c r="A14" s="885">
        <v>9</v>
      </c>
      <c r="B14" s="886" t="s">
        <v>320</v>
      </c>
      <c r="C14" s="887">
        <v>830677509</v>
      </c>
      <c r="D14" s="887">
        <v>3289052734</v>
      </c>
    </row>
    <row r="15" spans="1:4" ht="18">
      <c r="A15" s="885">
        <v>10</v>
      </c>
      <c r="B15" s="886" t="s">
        <v>321</v>
      </c>
      <c r="C15" s="887">
        <f>C10+C11-C12-C13-C14</f>
        <v>3272802297</v>
      </c>
      <c r="D15" s="887">
        <f>D10+D11-D12-D13-D14</f>
        <v>7597372405</v>
      </c>
    </row>
    <row r="16" spans="1:4" ht="18">
      <c r="A16" s="885">
        <v>11</v>
      </c>
      <c r="B16" s="886" t="s">
        <v>322</v>
      </c>
      <c r="C16" s="887">
        <v>27741273</v>
      </c>
      <c r="D16" s="887">
        <v>703172243</v>
      </c>
    </row>
    <row r="17" spans="1:4" ht="18">
      <c r="A17" s="885">
        <v>12</v>
      </c>
      <c r="B17" s="886" t="s">
        <v>323</v>
      </c>
      <c r="C17" s="887">
        <v>15237184</v>
      </c>
      <c r="D17" s="887">
        <v>65237964</v>
      </c>
    </row>
    <row r="18" spans="1:4" ht="18">
      <c r="A18" s="885">
        <v>13</v>
      </c>
      <c r="B18" s="886" t="s">
        <v>324</v>
      </c>
      <c r="C18" s="887">
        <f>C16-C17</f>
        <v>12504089</v>
      </c>
      <c r="D18" s="887">
        <f>D16-D17</f>
        <v>637934279</v>
      </c>
    </row>
    <row r="19" spans="1:4" ht="18">
      <c r="A19" s="885">
        <v>14</v>
      </c>
      <c r="B19" s="886" t="s">
        <v>325</v>
      </c>
      <c r="C19" s="887">
        <f>C15+C18</f>
        <v>3285306386</v>
      </c>
      <c r="D19" s="887">
        <f>D15+D18</f>
        <v>8235306684</v>
      </c>
    </row>
    <row r="20" spans="1:4" ht="18">
      <c r="A20" s="885">
        <v>15</v>
      </c>
      <c r="B20" s="886" t="s">
        <v>326</v>
      </c>
      <c r="C20" s="887">
        <v>9169132</v>
      </c>
      <c r="D20" s="887">
        <v>221608063</v>
      </c>
    </row>
    <row r="21" spans="1:4" ht="18">
      <c r="A21" s="885">
        <v>16</v>
      </c>
      <c r="B21" s="886" t="s">
        <v>327</v>
      </c>
      <c r="C21" s="887">
        <f>C19-C20</f>
        <v>3276137254</v>
      </c>
      <c r="D21" s="887">
        <f>D19-D20</f>
        <v>8013698621</v>
      </c>
    </row>
    <row r="22" spans="1:4" ht="18">
      <c r="A22" s="885">
        <v>17</v>
      </c>
      <c r="B22" s="886" t="s">
        <v>328</v>
      </c>
      <c r="C22" s="888">
        <f>C21/5448355</f>
        <v>601.3075972472425</v>
      </c>
      <c r="D22" s="888">
        <f>(3276137254/5448355+4737561367/3000000)</f>
        <v>2180.4947195805757</v>
      </c>
    </row>
    <row r="23" spans="1:4" ht="18.75" thickBot="1">
      <c r="A23" s="885">
        <v>18</v>
      </c>
      <c r="B23" s="889" t="s">
        <v>329</v>
      </c>
      <c r="C23" s="890">
        <v>600</v>
      </c>
      <c r="D23" s="890">
        <v>0</v>
      </c>
    </row>
    <row r="24" ht="17.25" thickTop="1">
      <c r="A24" s="13"/>
    </row>
    <row r="25" spans="1:4" ht="16.5">
      <c r="A25" s="13"/>
      <c r="B25" s="930" t="s">
        <v>330</v>
      </c>
      <c r="C25" s="931"/>
      <c r="D25" s="931"/>
    </row>
    <row r="26" spans="1:2" ht="18">
      <c r="A26" s="13"/>
      <c r="B26" s="891" t="s">
        <v>331</v>
      </c>
    </row>
    <row r="27" spans="1:4" ht="18">
      <c r="A27" s="13"/>
      <c r="C27" s="928" t="s">
        <v>392</v>
      </c>
      <c r="D27" s="928"/>
    </row>
    <row r="28" ht="16.5">
      <c r="A28" s="13"/>
    </row>
    <row r="29" ht="16.5">
      <c r="A29" s="13"/>
    </row>
    <row r="30" ht="16.5">
      <c r="A30" s="13"/>
    </row>
    <row r="31" ht="16.5">
      <c r="A31" s="13"/>
    </row>
  </sheetData>
  <mergeCells count="4">
    <mergeCell ref="B2:D2"/>
    <mergeCell ref="A3:D3"/>
    <mergeCell ref="B25:D25"/>
    <mergeCell ref="C27:D27"/>
  </mergeCells>
  <printOptions/>
  <pageMargins left="0.5" right="0.25" top="0.5" bottom="0.5" header="0.25" footer="0.2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28"/>
  <sheetViews>
    <sheetView showGridLines="0" workbookViewId="0" topLeftCell="A1">
      <selection activeCell="G9" sqref="G9"/>
    </sheetView>
  </sheetViews>
  <sheetFormatPr defaultColWidth="8.796875" defaultRowHeight="14.25"/>
  <cols>
    <col min="1" max="1" width="39.19921875" style="36" customWidth="1"/>
    <col min="2" max="2" width="1.59765625" style="36" customWidth="1"/>
    <col min="3" max="3" width="7.69921875" style="17" customWidth="1"/>
    <col min="4" max="4" width="1.8984375" style="17" customWidth="1"/>
    <col min="5" max="5" width="6.5" style="18" customWidth="1"/>
    <col min="6" max="6" width="1.8984375" style="18" customWidth="1"/>
    <col min="7" max="7" width="15.59765625" style="19" customWidth="1"/>
    <col min="8" max="8" width="1.69921875" style="19" customWidth="1"/>
    <col min="9" max="9" width="16.09765625" style="21" customWidth="1"/>
    <col min="10" max="10" width="1.4921875" style="21" customWidth="1"/>
    <col min="11" max="11" width="15.3984375" style="12" customWidth="1"/>
    <col min="12" max="12" width="14.8984375" style="12" customWidth="1"/>
    <col min="13" max="13" width="14.69921875" style="12" customWidth="1"/>
    <col min="14" max="14" width="14.09765625" style="12" customWidth="1"/>
    <col min="15" max="16384" width="9" style="12" customWidth="1"/>
  </cols>
  <sheetData>
    <row r="1" spans="1:10" ht="21.75" customHeight="1">
      <c r="A1" s="58" t="s">
        <v>558</v>
      </c>
      <c r="B1" s="58"/>
      <c r="C1" s="59"/>
      <c r="D1" s="59"/>
      <c r="E1" s="60"/>
      <c r="F1" s="60"/>
      <c r="G1" s="61"/>
      <c r="H1" s="61"/>
      <c r="I1" s="62" t="s">
        <v>171</v>
      </c>
      <c r="J1" s="20"/>
    </row>
    <row r="2" spans="1:9" ht="25.5" customHeight="1">
      <c r="A2" s="195" t="s">
        <v>137</v>
      </c>
      <c r="B2" s="63"/>
      <c r="C2" s="59"/>
      <c r="D2" s="59"/>
      <c r="E2" s="60"/>
      <c r="F2" s="60"/>
      <c r="G2" s="61"/>
      <c r="H2" s="61"/>
      <c r="I2" s="64"/>
    </row>
    <row r="3" spans="1:10" ht="21.75" customHeight="1">
      <c r="A3" s="58" t="s">
        <v>595</v>
      </c>
      <c r="B3" s="58"/>
      <c r="C3" s="59"/>
      <c r="D3" s="59"/>
      <c r="E3" s="60"/>
      <c r="F3" s="60"/>
      <c r="G3" s="61"/>
      <c r="H3" s="61"/>
      <c r="I3" s="62" t="s">
        <v>125</v>
      </c>
      <c r="J3" s="20"/>
    </row>
    <row r="4" spans="1:9" ht="3" customHeight="1">
      <c r="A4" s="66"/>
      <c r="B4" s="66"/>
      <c r="C4" s="67"/>
      <c r="D4" s="67"/>
      <c r="E4" s="68"/>
      <c r="F4" s="68"/>
      <c r="G4" s="69"/>
      <c r="H4" s="69"/>
      <c r="I4" s="69"/>
    </row>
    <row r="5" spans="1:10" ht="24" customHeight="1" thickBot="1">
      <c r="A5" s="70"/>
      <c r="B5" s="70"/>
      <c r="C5" s="71"/>
      <c r="D5" s="71"/>
      <c r="E5" s="72"/>
      <c r="F5" s="72"/>
      <c r="G5" s="73"/>
      <c r="H5" s="73"/>
      <c r="I5" s="73"/>
      <c r="J5" s="22"/>
    </row>
    <row r="6" spans="1:10" ht="33" customHeight="1" thickBot="1">
      <c r="A6" s="74" t="s">
        <v>138</v>
      </c>
      <c r="B6" s="74"/>
      <c r="C6" s="75" t="s">
        <v>161</v>
      </c>
      <c r="D6" s="75"/>
      <c r="E6" s="76" t="s">
        <v>172</v>
      </c>
      <c r="F6" s="76"/>
      <c r="G6" s="641" t="s">
        <v>596</v>
      </c>
      <c r="H6" s="77">
        <v>39172</v>
      </c>
      <c r="I6" s="641" t="s">
        <v>75</v>
      </c>
      <c r="J6" s="23"/>
    </row>
    <row r="7" spans="1:10" ht="24.75" customHeight="1">
      <c r="A7" s="78" t="s">
        <v>173</v>
      </c>
      <c r="B7" s="78"/>
      <c r="C7" s="79">
        <v>100</v>
      </c>
      <c r="D7" s="79"/>
      <c r="E7" s="80"/>
      <c r="F7" s="79"/>
      <c r="G7" s="65">
        <f>G8+G14+G22+G25</f>
        <v>63848523591</v>
      </c>
      <c r="H7" s="65"/>
      <c r="I7" s="65">
        <f>I8+I14+I22+I25</f>
        <v>66239842714</v>
      </c>
      <c r="J7" s="15"/>
    </row>
    <row r="8" spans="1:10" ht="18.75">
      <c r="A8" s="81" t="s">
        <v>174</v>
      </c>
      <c r="B8" s="82"/>
      <c r="C8" s="83">
        <v>110</v>
      </c>
      <c r="D8" s="79"/>
      <c r="E8" s="84"/>
      <c r="F8" s="85"/>
      <c r="G8" s="86">
        <f>G9</f>
        <v>4027351538</v>
      </c>
      <c r="H8" s="65"/>
      <c r="I8" s="86">
        <f>I9</f>
        <v>855899128</v>
      </c>
      <c r="J8" s="15"/>
    </row>
    <row r="9" spans="1:10" ht="19.5" customHeight="1">
      <c r="A9" s="87" t="s">
        <v>78</v>
      </c>
      <c r="B9" s="87"/>
      <c r="C9" s="88">
        <v>111</v>
      </c>
      <c r="D9" s="88"/>
      <c r="E9" s="89" t="s">
        <v>224</v>
      </c>
      <c r="F9" s="90"/>
      <c r="G9" s="91">
        <f>3017636300+1009715238</f>
        <v>4027351538</v>
      </c>
      <c r="H9" s="91"/>
      <c r="I9" s="91">
        <v>855899128</v>
      </c>
      <c r="J9" s="14"/>
    </row>
    <row r="10" spans="1:10" ht="19.5" customHeight="1" hidden="1">
      <c r="A10" s="87" t="s">
        <v>79</v>
      </c>
      <c r="B10" s="87"/>
      <c r="C10" s="88">
        <v>112</v>
      </c>
      <c r="D10" s="88"/>
      <c r="E10" s="54"/>
      <c r="F10" s="90"/>
      <c r="G10" s="91"/>
      <c r="H10" s="91"/>
      <c r="I10" s="91"/>
      <c r="J10" s="14"/>
    </row>
    <row r="11" spans="1:10" ht="19.5" customHeight="1">
      <c r="A11" s="92" t="s">
        <v>151</v>
      </c>
      <c r="B11" s="82"/>
      <c r="C11" s="93">
        <v>120</v>
      </c>
      <c r="D11" s="79"/>
      <c r="E11" s="94"/>
      <c r="F11" s="88"/>
      <c r="G11" s="95"/>
      <c r="H11" s="96"/>
      <c r="I11" s="95"/>
      <c r="J11" s="24"/>
    </row>
    <row r="12" spans="1:10" ht="17.25" hidden="1">
      <c r="A12" s="87" t="s">
        <v>163</v>
      </c>
      <c r="B12" s="87"/>
      <c r="C12" s="88">
        <v>121</v>
      </c>
      <c r="D12" s="88"/>
      <c r="E12" s="54"/>
      <c r="F12" s="90"/>
      <c r="G12" s="91"/>
      <c r="H12" s="91"/>
      <c r="I12" s="91"/>
      <c r="J12" s="14"/>
    </row>
    <row r="13" spans="1:10" ht="17.25" hidden="1">
      <c r="A13" s="87" t="s">
        <v>199</v>
      </c>
      <c r="B13" s="87"/>
      <c r="C13" s="88">
        <v>129</v>
      </c>
      <c r="D13" s="88"/>
      <c r="E13" s="97"/>
      <c r="F13" s="88"/>
      <c r="G13" s="91"/>
      <c r="H13" s="91"/>
      <c r="I13" s="91"/>
      <c r="J13" s="14"/>
    </row>
    <row r="14" spans="1:10" ht="18.75">
      <c r="A14" s="92" t="s">
        <v>152</v>
      </c>
      <c r="B14" s="82"/>
      <c r="C14" s="93">
        <v>130</v>
      </c>
      <c r="D14" s="79"/>
      <c r="E14" s="98"/>
      <c r="F14" s="90"/>
      <c r="G14" s="99">
        <f>SUM(G15:G21)</f>
        <v>36275934855</v>
      </c>
      <c r="H14" s="65"/>
      <c r="I14" s="99">
        <f>SUM(I15:I21)</f>
        <v>46326463317</v>
      </c>
      <c r="J14" s="15"/>
    </row>
    <row r="15" spans="1:11" ht="19.5" customHeight="1">
      <c r="A15" s="87" t="s">
        <v>80</v>
      </c>
      <c r="B15" s="87"/>
      <c r="C15" s="88">
        <v>131</v>
      </c>
      <c r="D15" s="88"/>
      <c r="E15" s="89"/>
      <c r="F15" s="90"/>
      <c r="G15" s="91">
        <f>20481761795+15660459141-4035973659</f>
        <v>32106247277</v>
      </c>
      <c r="H15" s="91"/>
      <c r="I15" s="91">
        <v>37664136514</v>
      </c>
      <c r="J15" s="14"/>
      <c r="K15" s="25"/>
    </row>
    <row r="16" spans="1:10" ht="19.5" customHeight="1">
      <c r="A16" s="87" t="s">
        <v>81</v>
      </c>
      <c r="B16" s="87"/>
      <c r="C16" s="88">
        <v>132</v>
      </c>
      <c r="D16" s="88"/>
      <c r="E16" s="89"/>
      <c r="F16" s="88"/>
      <c r="G16" s="91">
        <f>3974235350+46164039</f>
        <v>4020399389</v>
      </c>
      <c r="H16" s="91"/>
      <c r="I16" s="91">
        <v>7997040709</v>
      </c>
      <c r="J16" s="14"/>
    </row>
    <row r="17" spans="1:9" ht="17.25" hidden="1">
      <c r="A17" s="87" t="s">
        <v>200</v>
      </c>
      <c r="B17" s="87"/>
      <c r="C17" s="88">
        <v>133</v>
      </c>
      <c r="D17" s="88"/>
      <c r="E17" s="54"/>
      <c r="F17" s="90"/>
      <c r="G17" s="64"/>
      <c r="H17" s="64"/>
      <c r="I17" s="64"/>
    </row>
    <row r="18" spans="1:10" ht="17.25" hidden="1">
      <c r="A18" s="87" t="s">
        <v>201</v>
      </c>
      <c r="B18" s="87"/>
      <c r="C18" s="88">
        <v>134</v>
      </c>
      <c r="D18" s="88"/>
      <c r="E18" s="54"/>
      <c r="F18" s="88"/>
      <c r="G18" s="91"/>
      <c r="H18" s="91"/>
      <c r="I18" s="91"/>
      <c r="J18" s="14"/>
    </row>
    <row r="19" spans="1:10" ht="17.25" hidden="1">
      <c r="A19" s="87" t="s">
        <v>393</v>
      </c>
      <c r="B19" s="87"/>
      <c r="C19" s="88">
        <v>133</v>
      </c>
      <c r="D19" s="88"/>
      <c r="E19" s="54"/>
      <c r="F19" s="88"/>
      <c r="G19" s="91"/>
      <c r="H19" s="91"/>
      <c r="I19" s="91"/>
      <c r="J19" s="14"/>
    </row>
    <row r="20" spans="1:11" ht="19.5" customHeight="1">
      <c r="A20" s="87" t="s">
        <v>82</v>
      </c>
      <c r="B20" s="87"/>
      <c r="C20" s="88">
        <v>135</v>
      </c>
      <c r="D20" s="88"/>
      <c r="E20" s="89" t="s">
        <v>225</v>
      </c>
      <c r="F20" s="90"/>
      <c r="G20" s="91">
        <v>649288189</v>
      </c>
      <c r="H20" s="91"/>
      <c r="I20" s="91">
        <v>1165286094</v>
      </c>
      <c r="J20" s="14"/>
      <c r="K20" s="25"/>
    </row>
    <row r="21" spans="1:10" ht="17.25">
      <c r="A21" s="87" t="s">
        <v>202</v>
      </c>
      <c r="B21" s="87"/>
      <c r="C21" s="88">
        <v>138</v>
      </c>
      <c r="D21" s="88"/>
      <c r="E21" s="54"/>
      <c r="F21" s="85"/>
      <c r="G21" s="91">
        <v>-500000000</v>
      </c>
      <c r="H21" s="91"/>
      <c r="I21" s="91">
        <f>-500000000</f>
        <v>-500000000</v>
      </c>
      <c r="J21" s="14"/>
    </row>
    <row r="22" spans="1:10" ht="18.75">
      <c r="A22" s="92" t="s">
        <v>153</v>
      </c>
      <c r="B22" s="82"/>
      <c r="C22" s="93">
        <v>140</v>
      </c>
      <c r="D22" s="79"/>
      <c r="E22" s="98"/>
      <c r="F22" s="85"/>
      <c r="G22" s="99">
        <f>G23+G24</f>
        <v>21020119602</v>
      </c>
      <c r="H22" s="65"/>
      <c r="I22" s="99">
        <f>I23+I24</f>
        <v>15535970570</v>
      </c>
      <c r="J22" s="15"/>
    </row>
    <row r="23" spans="1:12" ht="17.25">
      <c r="A23" s="87" t="s">
        <v>83</v>
      </c>
      <c r="B23" s="87"/>
      <c r="C23" s="88">
        <v>141</v>
      </c>
      <c r="D23" s="88"/>
      <c r="E23" s="89" t="s">
        <v>252</v>
      </c>
      <c r="F23" s="90"/>
      <c r="G23" s="91">
        <f>6129172402+14890947200</f>
        <v>21020119602</v>
      </c>
      <c r="H23" s="91"/>
      <c r="I23" s="91">
        <v>15535970570</v>
      </c>
      <c r="J23" s="14"/>
      <c r="L23" s="25"/>
    </row>
    <row r="24" spans="1:11" ht="18.75" hidden="1">
      <c r="A24" s="87" t="s">
        <v>203</v>
      </c>
      <c r="B24" s="87"/>
      <c r="C24" s="88">
        <v>149</v>
      </c>
      <c r="D24" s="88"/>
      <c r="E24" s="100"/>
      <c r="F24" s="79"/>
      <c r="G24" s="91"/>
      <c r="H24" s="96"/>
      <c r="I24" s="91"/>
      <c r="J24" s="24"/>
      <c r="K24" s="25"/>
    </row>
    <row r="25" spans="1:10" ht="18.75">
      <c r="A25" s="92" t="s">
        <v>190</v>
      </c>
      <c r="B25" s="82"/>
      <c r="C25" s="93">
        <v>150</v>
      </c>
      <c r="D25" s="79"/>
      <c r="E25" s="98"/>
      <c r="F25" s="85"/>
      <c r="G25" s="99">
        <f>SUM(G26:G30)</f>
        <v>2525117596</v>
      </c>
      <c r="H25" s="65"/>
      <c r="I25" s="99">
        <f>SUM(I26:I30)</f>
        <v>3521509699</v>
      </c>
      <c r="J25" s="15"/>
    </row>
    <row r="26" spans="1:10" ht="17.25">
      <c r="A26" s="87" t="s">
        <v>84</v>
      </c>
      <c r="B26" s="87"/>
      <c r="C26" s="88">
        <v>151</v>
      </c>
      <c r="D26" s="88"/>
      <c r="E26" s="54"/>
      <c r="F26" s="79"/>
      <c r="G26" s="91">
        <f>835646422+174016056</f>
        <v>1009662478</v>
      </c>
      <c r="H26" s="91"/>
      <c r="I26" s="91">
        <v>840392361</v>
      </c>
      <c r="J26" s="14"/>
    </row>
    <row r="27" spans="1:10" ht="17.25">
      <c r="A27" s="87" t="s">
        <v>227</v>
      </c>
      <c r="B27" s="87"/>
      <c r="C27" s="88">
        <v>152</v>
      </c>
      <c r="D27" s="88"/>
      <c r="E27" s="89"/>
      <c r="F27" s="79"/>
      <c r="G27" s="91">
        <f>1081722828</f>
        <v>1081722828</v>
      </c>
      <c r="H27" s="91"/>
      <c r="I27" s="91">
        <v>2331696059</v>
      </c>
      <c r="J27" s="14"/>
    </row>
    <row r="28" spans="1:10" ht="17.25">
      <c r="A28" s="87" t="s">
        <v>226</v>
      </c>
      <c r="B28" s="87"/>
      <c r="C28" s="101" t="s">
        <v>229</v>
      </c>
      <c r="D28" s="88"/>
      <c r="E28" s="54" t="s">
        <v>366</v>
      </c>
      <c r="F28" s="90"/>
      <c r="G28" s="91">
        <f>136021716+16924558</f>
        <v>152946274</v>
      </c>
      <c r="H28" s="91"/>
      <c r="I28" s="91">
        <v>137261966</v>
      </c>
      <c r="J28" s="14"/>
    </row>
    <row r="29" spans="1:10" ht="17.25" hidden="1">
      <c r="A29" s="87" t="s">
        <v>228</v>
      </c>
      <c r="B29" s="87"/>
      <c r="C29" s="88">
        <v>158</v>
      </c>
      <c r="D29" s="88"/>
      <c r="E29" s="89"/>
      <c r="F29" s="79"/>
      <c r="G29" s="91"/>
      <c r="H29" s="91"/>
      <c r="I29" s="91"/>
      <c r="J29" s="14"/>
    </row>
    <row r="30" spans="1:11" ht="17.25">
      <c r="A30" s="87" t="s">
        <v>422</v>
      </c>
      <c r="B30" s="87"/>
      <c r="C30" s="88">
        <v>158</v>
      </c>
      <c r="D30" s="88"/>
      <c r="E30" s="89"/>
      <c r="F30" s="79"/>
      <c r="G30" s="91">
        <f>243437216+37348800</f>
        <v>280786016</v>
      </c>
      <c r="H30" s="91"/>
      <c r="I30" s="91">
        <v>212159313</v>
      </c>
      <c r="J30" s="14"/>
      <c r="K30" s="25"/>
    </row>
    <row r="31" spans="1:10" ht="21.75" customHeight="1">
      <c r="A31" s="102" t="s">
        <v>191</v>
      </c>
      <c r="B31" s="78"/>
      <c r="C31" s="103">
        <v>200</v>
      </c>
      <c r="D31" s="79"/>
      <c r="E31" s="104"/>
      <c r="F31" s="79"/>
      <c r="G31" s="105">
        <f>G38+G52+G58</f>
        <v>77801536452</v>
      </c>
      <c r="H31" s="65"/>
      <c r="I31" s="105">
        <f>I38+I52+I37+I58</f>
        <v>27463540236</v>
      </c>
      <c r="J31" s="15"/>
    </row>
    <row r="32" spans="1:10" ht="21.75" customHeight="1">
      <c r="A32" s="106" t="s">
        <v>192</v>
      </c>
      <c r="B32" s="82"/>
      <c r="C32" s="107">
        <v>210</v>
      </c>
      <c r="D32" s="79"/>
      <c r="E32" s="88"/>
      <c r="F32" s="62"/>
      <c r="G32" s="108">
        <f>G37</f>
        <v>0</v>
      </c>
      <c r="H32" s="65"/>
      <c r="I32" s="108">
        <f>I37</f>
        <v>0</v>
      </c>
      <c r="J32" s="15"/>
    </row>
    <row r="33" spans="1:10" ht="21.75" customHeight="1" hidden="1">
      <c r="A33" s="87" t="s">
        <v>204</v>
      </c>
      <c r="B33" s="87"/>
      <c r="C33" s="88">
        <v>211</v>
      </c>
      <c r="D33" s="88"/>
      <c r="E33" s="90"/>
      <c r="F33" s="62"/>
      <c r="G33" s="65"/>
      <c r="H33" s="65"/>
      <c r="I33" s="65"/>
      <c r="J33" s="15"/>
    </row>
    <row r="34" spans="1:10" ht="21.75" customHeight="1" hidden="1">
      <c r="A34" s="87" t="s">
        <v>205</v>
      </c>
      <c r="B34" s="87"/>
      <c r="C34" s="88">
        <v>212</v>
      </c>
      <c r="D34" s="88"/>
      <c r="E34" s="88"/>
      <c r="F34" s="62"/>
      <c r="G34" s="65"/>
      <c r="H34" s="65"/>
      <c r="I34" s="65"/>
      <c r="J34" s="15"/>
    </row>
    <row r="35" spans="1:10" ht="21.75" customHeight="1" hidden="1">
      <c r="A35" s="87" t="s">
        <v>207</v>
      </c>
      <c r="B35" s="87"/>
      <c r="C35" s="88">
        <v>213</v>
      </c>
      <c r="D35" s="88"/>
      <c r="E35" s="88"/>
      <c r="F35" s="62"/>
      <c r="G35" s="65"/>
      <c r="H35" s="65"/>
      <c r="I35" s="65"/>
      <c r="J35" s="15"/>
    </row>
    <row r="36" spans="1:10" ht="21.75" customHeight="1" hidden="1">
      <c r="A36" s="87" t="s">
        <v>206</v>
      </c>
      <c r="B36" s="87"/>
      <c r="C36" s="88">
        <v>219</v>
      </c>
      <c r="D36" s="88"/>
      <c r="E36" s="88"/>
      <c r="F36" s="62"/>
      <c r="G36" s="65"/>
      <c r="H36" s="65"/>
      <c r="I36" s="65"/>
      <c r="J36" s="15"/>
    </row>
    <row r="37" spans="1:10" ht="21.75" customHeight="1">
      <c r="A37" s="87" t="s">
        <v>389</v>
      </c>
      <c r="B37" s="87"/>
      <c r="C37" s="88">
        <v>211</v>
      </c>
      <c r="D37" s="88"/>
      <c r="E37" s="88"/>
      <c r="F37" s="62"/>
      <c r="G37" s="65"/>
      <c r="H37" s="65"/>
      <c r="I37" s="91"/>
      <c r="J37" s="15"/>
    </row>
    <row r="38" spans="1:10" ht="21.75" customHeight="1">
      <c r="A38" s="92" t="s">
        <v>193</v>
      </c>
      <c r="B38" s="82"/>
      <c r="C38" s="93">
        <v>220</v>
      </c>
      <c r="D38" s="79"/>
      <c r="E38" s="98"/>
      <c r="F38" s="62"/>
      <c r="G38" s="99">
        <f>G39+G48</f>
        <v>75978275024</v>
      </c>
      <c r="H38" s="65"/>
      <c r="I38" s="99">
        <f>I39+I48</f>
        <v>25635431613</v>
      </c>
      <c r="J38" s="15"/>
    </row>
    <row r="39" spans="1:10" ht="19.5" customHeight="1">
      <c r="A39" s="109" t="s">
        <v>85</v>
      </c>
      <c r="B39" s="87"/>
      <c r="C39" s="110">
        <v>221</v>
      </c>
      <c r="D39" s="88"/>
      <c r="E39" s="111" t="s">
        <v>230</v>
      </c>
      <c r="F39" s="112"/>
      <c r="G39" s="113">
        <f>SUM(G40:G41)</f>
        <v>32842200973</v>
      </c>
      <c r="H39" s="91">
        <f>SUM(H40:H41)</f>
        <v>0</v>
      </c>
      <c r="I39" s="113">
        <f>SUM(I40:I41)</f>
        <v>24855129377</v>
      </c>
      <c r="J39" s="14"/>
    </row>
    <row r="40" spans="1:10" ht="17.25">
      <c r="A40" s="114" t="s">
        <v>143</v>
      </c>
      <c r="B40" s="114"/>
      <c r="C40" s="88">
        <v>222</v>
      </c>
      <c r="D40" s="88"/>
      <c r="E40" s="54"/>
      <c r="F40" s="112"/>
      <c r="G40" s="91">
        <f>14468158507+28365513078</f>
        <v>42833671585</v>
      </c>
      <c r="H40" s="91"/>
      <c r="I40" s="91">
        <v>36312942580</v>
      </c>
      <c r="J40" s="14"/>
    </row>
    <row r="41" spans="1:10" ht="17.25">
      <c r="A41" s="115" t="s">
        <v>144</v>
      </c>
      <c r="B41" s="115"/>
      <c r="C41" s="110">
        <v>223</v>
      </c>
      <c r="D41" s="110"/>
      <c r="E41" s="116"/>
      <c r="F41" s="117"/>
      <c r="G41" s="113">
        <f>-8613706149-1377764463</f>
        <v>-9991470612</v>
      </c>
      <c r="H41" s="91"/>
      <c r="I41" s="113">
        <v>-11457813203</v>
      </c>
      <c r="J41" s="14"/>
    </row>
    <row r="42" spans="1:10" ht="17.25" hidden="1">
      <c r="A42" s="118" t="s">
        <v>86</v>
      </c>
      <c r="B42" s="82"/>
      <c r="C42" s="79">
        <v>224</v>
      </c>
      <c r="D42" s="79"/>
      <c r="E42" s="54"/>
      <c r="F42" s="112"/>
      <c r="G42" s="91"/>
      <c r="H42" s="91"/>
      <c r="I42" s="91"/>
      <c r="J42" s="14"/>
    </row>
    <row r="43" spans="1:10" ht="17.25" hidden="1">
      <c r="A43" s="114" t="s">
        <v>143</v>
      </c>
      <c r="B43" s="114"/>
      <c r="C43" s="88">
        <v>225</v>
      </c>
      <c r="D43" s="88"/>
      <c r="E43" s="54"/>
      <c r="F43" s="112"/>
      <c r="G43" s="91"/>
      <c r="H43" s="91"/>
      <c r="I43" s="91"/>
      <c r="J43" s="14"/>
    </row>
    <row r="44" spans="1:10" ht="17.25" hidden="1">
      <c r="A44" s="114" t="s">
        <v>144</v>
      </c>
      <c r="B44" s="114"/>
      <c r="C44" s="88">
        <v>226</v>
      </c>
      <c r="D44" s="88"/>
      <c r="E44" s="54"/>
      <c r="F44" s="112"/>
      <c r="G44" s="91"/>
      <c r="H44" s="91"/>
      <c r="I44" s="91"/>
      <c r="J44" s="14"/>
    </row>
    <row r="45" spans="1:10" ht="17.25" hidden="1">
      <c r="A45" s="118" t="s">
        <v>87</v>
      </c>
      <c r="B45" s="82"/>
      <c r="C45" s="79">
        <v>227</v>
      </c>
      <c r="D45" s="79"/>
      <c r="E45" s="100"/>
      <c r="F45" s="119"/>
      <c r="G45" s="120"/>
      <c r="H45" s="120"/>
      <c r="I45" s="120"/>
      <c r="J45" s="26"/>
    </row>
    <row r="46" spans="1:10" ht="16.5" customHeight="1" hidden="1">
      <c r="A46" s="114" t="s">
        <v>143</v>
      </c>
      <c r="B46" s="114"/>
      <c r="C46" s="88">
        <v>228</v>
      </c>
      <c r="D46" s="88"/>
      <c r="E46" s="54"/>
      <c r="F46" s="112"/>
      <c r="G46" s="91"/>
      <c r="H46" s="91"/>
      <c r="I46" s="91"/>
      <c r="J46" s="14"/>
    </row>
    <row r="47" spans="1:10" ht="16.5" customHeight="1" hidden="1">
      <c r="A47" s="114" t="s">
        <v>144</v>
      </c>
      <c r="B47" s="114"/>
      <c r="C47" s="88">
        <v>229</v>
      </c>
      <c r="D47" s="88"/>
      <c r="E47" s="54"/>
      <c r="F47" s="112"/>
      <c r="G47" s="91"/>
      <c r="H47" s="91"/>
      <c r="I47" s="91"/>
      <c r="J47" s="14"/>
    </row>
    <row r="48" spans="1:10" ht="18.75" customHeight="1">
      <c r="A48" s="118" t="s">
        <v>88</v>
      </c>
      <c r="B48" s="82"/>
      <c r="C48" s="79">
        <v>230</v>
      </c>
      <c r="D48" s="79"/>
      <c r="E48" s="89" t="s">
        <v>231</v>
      </c>
      <c r="F48" s="112"/>
      <c r="G48" s="91">
        <f>43049334518+86739533</f>
        <v>43136074051</v>
      </c>
      <c r="H48" s="91"/>
      <c r="I48" s="91">
        <f>634945000+145357236</f>
        <v>780302236</v>
      </c>
      <c r="J48" s="14"/>
    </row>
    <row r="49" spans="1:10" ht="19.5" customHeight="1" hidden="1">
      <c r="A49" s="92" t="s">
        <v>194</v>
      </c>
      <c r="B49" s="82"/>
      <c r="C49" s="93">
        <v>240</v>
      </c>
      <c r="D49" s="79"/>
      <c r="E49" s="98"/>
      <c r="F49" s="112"/>
      <c r="G49" s="121"/>
      <c r="H49" s="91"/>
      <c r="I49" s="121"/>
      <c r="J49" s="14"/>
    </row>
    <row r="50" spans="1:10" ht="16.5" customHeight="1" hidden="1">
      <c r="A50" s="114" t="s">
        <v>143</v>
      </c>
      <c r="B50" s="114"/>
      <c r="C50" s="88">
        <v>241</v>
      </c>
      <c r="D50" s="88"/>
      <c r="E50" s="54"/>
      <c r="F50" s="112"/>
      <c r="G50" s="91"/>
      <c r="H50" s="91"/>
      <c r="I50" s="91"/>
      <c r="J50" s="14"/>
    </row>
    <row r="51" spans="1:10" ht="16.5" customHeight="1" hidden="1">
      <c r="A51" s="114" t="s">
        <v>144</v>
      </c>
      <c r="B51" s="114"/>
      <c r="C51" s="88">
        <v>242</v>
      </c>
      <c r="D51" s="88"/>
      <c r="E51" s="54"/>
      <c r="F51" s="112"/>
      <c r="G51" s="91"/>
      <c r="H51" s="91"/>
      <c r="I51" s="91"/>
      <c r="J51" s="14"/>
    </row>
    <row r="52" spans="1:10" ht="19.5" customHeight="1">
      <c r="A52" s="92" t="s">
        <v>195</v>
      </c>
      <c r="B52" s="82"/>
      <c r="C52" s="93">
        <v>250</v>
      </c>
      <c r="D52" s="79"/>
      <c r="E52" s="122"/>
      <c r="F52" s="62"/>
      <c r="G52" s="123">
        <f>SUM(G54:G57)</f>
        <v>76032000</v>
      </c>
      <c r="H52" s="124"/>
      <c r="I52" s="123">
        <f>+I54</f>
        <v>0</v>
      </c>
      <c r="J52" s="27"/>
    </row>
    <row r="53" spans="1:10" ht="19.5" customHeight="1" hidden="1">
      <c r="A53" s="87" t="s">
        <v>208</v>
      </c>
      <c r="B53" s="87"/>
      <c r="C53" s="88">
        <v>251</v>
      </c>
      <c r="D53" s="88"/>
      <c r="E53" s="100"/>
      <c r="F53" s="125"/>
      <c r="G53" s="126"/>
      <c r="H53" s="126"/>
      <c r="I53" s="126"/>
      <c r="J53" s="28"/>
    </row>
    <row r="54" spans="1:9" ht="19.5" customHeight="1">
      <c r="A54" s="87" t="s">
        <v>89</v>
      </c>
      <c r="B54" s="87"/>
      <c r="C54" s="88">
        <v>252</v>
      </c>
      <c r="D54" s="88"/>
      <c r="E54" s="54"/>
      <c r="F54" s="112"/>
      <c r="G54" s="64">
        <v>0</v>
      </c>
      <c r="H54" s="64"/>
      <c r="I54" s="64">
        <v>0</v>
      </c>
    </row>
    <row r="55" spans="1:9" ht="19.5" customHeight="1" hidden="1">
      <c r="A55" s="87" t="s">
        <v>90</v>
      </c>
      <c r="B55" s="87"/>
      <c r="C55" s="88">
        <v>258</v>
      </c>
      <c r="D55" s="88"/>
      <c r="E55" s="89" t="s">
        <v>232</v>
      </c>
      <c r="F55" s="112"/>
      <c r="G55" s="64"/>
      <c r="H55" s="64"/>
      <c r="I55" s="64"/>
    </row>
    <row r="56" spans="1:10" ht="19.5" customHeight="1" hidden="1">
      <c r="A56" s="87" t="s">
        <v>209</v>
      </c>
      <c r="B56" s="87"/>
      <c r="C56" s="88">
        <v>259</v>
      </c>
      <c r="D56" s="88"/>
      <c r="E56" s="88"/>
      <c r="F56" s="125"/>
      <c r="G56" s="126"/>
      <c r="H56" s="126"/>
      <c r="I56" s="126"/>
      <c r="J56" s="28"/>
    </row>
    <row r="57" spans="1:10" ht="19.5" customHeight="1">
      <c r="A57" s="87" t="s">
        <v>561</v>
      </c>
      <c r="B57" s="87"/>
      <c r="C57" s="88"/>
      <c r="D57" s="88"/>
      <c r="E57" s="88"/>
      <c r="F57" s="125"/>
      <c r="G57" s="64">
        <v>76032000</v>
      </c>
      <c r="H57" s="126"/>
      <c r="I57" s="126"/>
      <c r="J57" s="28"/>
    </row>
    <row r="58" spans="1:10" ht="19.5" customHeight="1">
      <c r="A58" s="127" t="s">
        <v>196</v>
      </c>
      <c r="B58" s="82"/>
      <c r="C58" s="128">
        <v>260</v>
      </c>
      <c r="D58" s="79"/>
      <c r="E58" s="129"/>
      <c r="F58" s="62"/>
      <c r="G58" s="130">
        <f>G62</f>
        <v>1747229428</v>
      </c>
      <c r="H58" s="65"/>
      <c r="I58" s="130">
        <f>I62</f>
        <v>1828108623</v>
      </c>
      <c r="J58" s="15"/>
    </row>
    <row r="59" spans="1:10" ht="19.5" customHeight="1" hidden="1">
      <c r="A59" s="87" t="s">
        <v>197</v>
      </c>
      <c r="B59" s="87"/>
      <c r="C59" s="88">
        <v>261</v>
      </c>
      <c r="D59" s="88"/>
      <c r="E59" s="54"/>
      <c r="F59" s="62"/>
      <c r="G59" s="65"/>
      <c r="H59" s="65"/>
      <c r="I59" s="65"/>
      <c r="J59" s="15"/>
    </row>
    <row r="60" spans="1:10" ht="19.5" customHeight="1" hidden="1">
      <c r="A60" s="87" t="s">
        <v>210</v>
      </c>
      <c r="B60" s="87"/>
      <c r="C60" s="88">
        <v>262</v>
      </c>
      <c r="D60" s="88"/>
      <c r="E60" s="54"/>
      <c r="F60" s="62"/>
      <c r="G60" s="65"/>
      <c r="H60" s="65"/>
      <c r="I60" s="65"/>
      <c r="J60" s="15"/>
    </row>
    <row r="61" spans="1:10" ht="19.5" customHeight="1" hidden="1">
      <c r="A61" s="87" t="s">
        <v>211</v>
      </c>
      <c r="B61" s="87"/>
      <c r="C61" s="88">
        <v>268</v>
      </c>
      <c r="D61" s="88"/>
      <c r="E61" s="54"/>
      <c r="F61" s="62"/>
      <c r="G61" s="65"/>
      <c r="H61" s="65"/>
      <c r="I61" s="65"/>
      <c r="J61" s="15"/>
    </row>
    <row r="62" spans="1:10" ht="19.5" customHeight="1">
      <c r="A62" s="131" t="s">
        <v>390</v>
      </c>
      <c r="B62" s="87"/>
      <c r="C62" s="110">
        <v>261</v>
      </c>
      <c r="D62" s="88"/>
      <c r="E62" s="132" t="s">
        <v>391</v>
      </c>
      <c r="F62" s="62"/>
      <c r="G62" s="131">
        <f>1659171659+88057769</f>
        <v>1747229428</v>
      </c>
      <c r="H62" s="65"/>
      <c r="I62" s="131">
        <v>1828108623</v>
      </c>
      <c r="J62" s="15"/>
    </row>
    <row r="63" spans="1:10" ht="4.5" customHeight="1">
      <c r="A63" s="133"/>
      <c r="B63" s="133"/>
      <c r="C63" s="134"/>
      <c r="D63" s="134"/>
      <c r="E63" s="135"/>
      <c r="F63" s="136"/>
      <c r="G63" s="137"/>
      <c r="H63" s="137"/>
      <c r="I63" s="137"/>
      <c r="J63" s="15"/>
    </row>
    <row r="64" spans="1:10" ht="21.75" customHeight="1" thickBot="1">
      <c r="A64" s="138" t="s">
        <v>139</v>
      </c>
      <c r="B64" s="138"/>
      <c r="C64" s="139">
        <v>270</v>
      </c>
      <c r="D64" s="139"/>
      <c r="E64" s="140"/>
      <c r="F64" s="141"/>
      <c r="G64" s="142">
        <f>G31+G7</f>
        <v>141650060043</v>
      </c>
      <c r="H64" s="142"/>
      <c r="I64" s="142">
        <f>I31+I7</f>
        <v>93703382950</v>
      </c>
      <c r="J64" s="29"/>
    </row>
    <row r="65" spans="1:10" ht="21.75" customHeight="1" thickTop="1">
      <c r="A65" s="143"/>
      <c r="B65" s="143"/>
      <c r="C65" s="144"/>
      <c r="D65" s="144"/>
      <c r="E65" s="542"/>
      <c r="F65" s="543"/>
      <c r="G65" s="145"/>
      <c r="H65" s="145"/>
      <c r="I65" s="145"/>
      <c r="J65" s="29"/>
    </row>
    <row r="66" spans="1:10" ht="21.75" customHeight="1">
      <c r="A66" s="143"/>
      <c r="B66" s="143"/>
      <c r="C66" s="144"/>
      <c r="D66" s="144"/>
      <c r="E66" s="542"/>
      <c r="F66" s="543"/>
      <c r="G66" s="145"/>
      <c r="H66" s="145"/>
      <c r="I66" s="145"/>
      <c r="J66" s="29"/>
    </row>
    <row r="67" spans="1:10" ht="21.75" customHeight="1">
      <c r="A67" s="143"/>
      <c r="B67" s="143"/>
      <c r="C67" s="144"/>
      <c r="D67" s="144"/>
      <c r="E67" s="542"/>
      <c r="F67" s="543"/>
      <c r="G67" s="145"/>
      <c r="H67" s="145"/>
      <c r="I67" s="145"/>
      <c r="J67" s="29"/>
    </row>
    <row r="68" spans="1:10" ht="21.75" customHeight="1">
      <c r="A68" s="143"/>
      <c r="B68" s="143"/>
      <c r="C68" s="144"/>
      <c r="D68" s="144"/>
      <c r="E68" s="542"/>
      <c r="F68" s="543"/>
      <c r="G68" s="145"/>
      <c r="H68" s="145"/>
      <c r="I68" s="145"/>
      <c r="J68" s="29"/>
    </row>
    <row r="69" spans="1:10" ht="33.75" customHeight="1">
      <c r="A69" s="146" t="s">
        <v>140</v>
      </c>
      <c r="B69" s="146"/>
      <c r="C69" s="147" t="s">
        <v>161</v>
      </c>
      <c r="D69" s="147"/>
      <c r="E69" s="148" t="s">
        <v>172</v>
      </c>
      <c r="F69" s="148"/>
      <c r="G69" s="149" t="str">
        <f>G6</f>
        <v>31/12/2007</v>
      </c>
      <c r="H69" s="149"/>
      <c r="I69" s="149" t="str">
        <f>I6</f>
        <v>31/12/2006</v>
      </c>
      <c r="J69" s="23"/>
    </row>
    <row r="70" spans="1:10" ht="24.75" customHeight="1">
      <c r="A70" s="133" t="s">
        <v>141</v>
      </c>
      <c r="B70" s="78"/>
      <c r="C70" s="134">
        <v>300</v>
      </c>
      <c r="D70" s="79"/>
      <c r="E70" s="150"/>
      <c r="F70" s="79"/>
      <c r="G70" s="137">
        <f>G71+G81</f>
        <v>28473848206</v>
      </c>
      <c r="H70" s="65"/>
      <c r="I70" s="137">
        <f>I71+I81</f>
        <v>40448792190</v>
      </c>
      <c r="J70" s="15"/>
    </row>
    <row r="71" spans="1:10" ht="23.25" customHeight="1">
      <c r="A71" s="106" t="s">
        <v>147</v>
      </c>
      <c r="B71" s="82"/>
      <c r="C71" s="107">
        <v>310</v>
      </c>
      <c r="D71" s="79"/>
      <c r="E71" s="151"/>
      <c r="F71" s="79"/>
      <c r="G71" s="108">
        <f>SUM(G72:G80)</f>
        <v>19680484427</v>
      </c>
      <c r="H71" s="65"/>
      <c r="I71" s="108">
        <f>SUM(I72:I80)</f>
        <v>32067690017</v>
      </c>
      <c r="J71" s="15"/>
    </row>
    <row r="72" spans="1:10" ht="19.5" customHeight="1">
      <c r="A72" s="87" t="s">
        <v>91</v>
      </c>
      <c r="B72" s="87"/>
      <c r="C72" s="88">
        <v>311</v>
      </c>
      <c r="D72" s="88"/>
      <c r="E72" s="89" t="s">
        <v>233</v>
      </c>
      <c r="F72" s="88"/>
      <c r="G72" s="152">
        <f>6183699200+3934766400</f>
        <v>10118465600</v>
      </c>
      <c r="H72" s="91"/>
      <c r="I72" s="152">
        <f>3900000000+3130823000</f>
        <v>7030823000</v>
      </c>
      <c r="J72" s="14"/>
    </row>
    <row r="73" spans="1:11" ht="18.75" customHeight="1">
      <c r="A73" s="87" t="s">
        <v>92</v>
      </c>
      <c r="B73" s="87"/>
      <c r="C73" s="88">
        <v>312</v>
      </c>
      <c r="D73" s="88"/>
      <c r="E73" s="89"/>
      <c r="F73" s="88"/>
      <c r="G73" s="91">
        <f>4072700229+8415148250-4035973659</f>
        <v>8451874820</v>
      </c>
      <c r="H73" s="91"/>
      <c r="I73" s="91">
        <v>21608892349</v>
      </c>
      <c r="J73" s="14"/>
      <c r="K73" s="25"/>
    </row>
    <row r="74" spans="1:10" ht="18.75" customHeight="1">
      <c r="A74" s="87" t="s">
        <v>93</v>
      </c>
      <c r="B74" s="87"/>
      <c r="C74" s="88">
        <v>313</v>
      </c>
      <c r="D74" s="88"/>
      <c r="E74" s="89"/>
      <c r="F74" s="88"/>
      <c r="G74" s="91">
        <v>5000000</v>
      </c>
      <c r="H74" s="91"/>
      <c r="I74" s="91">
        <v>5000000</v>
      </c>
      <c r="J74" s="14"/>
    </row>
    <row r="75" spans="1:14" ht="18.75" customHeight="1">
      <c r="A75" s="87" t="s">
        <v>94</v>
      </c>
      <c r="B75" s="87"/>
      <c r="C75" s="88">
        <v>314</v>
      </c>
      <c r="D75" s="88"/>
      <c r="E75" s="89" t="s">
        <v>234</v>
      </c>
      <c r="F75" s="88"/>
      <c r="G75" s="91">
        <f>25507672+57564936</f>
        <v>83072608</v>
      </c>
      <c r="H75" s="91"/>
      <c r="I75" s="91">
        <v>469699376</v>
      </c>
      <c r="J75" s="14"/>
      <c r="K75" s="25"/>
      <c r="L75" s="25"/>
      <c r="M75" s="25"/>
      <c r="N75" s="25"/>
    </row>
    <row r="76" spans="1:14" ht="18.75" customHeight="1">
      <c r="A76" s="87" t="s">
        <v>95</v>
      </c>
      <c r="B76" s="87"/>
      <c r="C76" s="88">
        <v>315</v>
      </c>
      <c r="D76" s="88"/>
      <c r="E76" s="54"/>
      <c r="F76" s="88"/>
      <c r="G76" s="91">
        <f>228040631+298543817</f>
        <v>526584448</v>
      </c>
      <c r="H76" s="91"/>
      <c r="I76" s="91">
        <v>572759276</v>
      </c>
      <c r="J76" s="14"/>
      <c r="N76" s="25"/>
    </row>
    <row r="77" spans="1:10" ht="18.75" customHeight="1" hidden="1">
      <c r="A77" s="87" t="s">
        <v>96</v>
      </c>
      <c r="B77" s="87"/>
      <c r="C77" s="88">
        <v>316</v>
      </c>
      <c r="D77" s="88"/>
      <c r="E77" s="89" t="s">
        <v>235</v>
      </c>
      <c r="F77" s="88"/>
      <c r="G77" s="61"/>
      <c r="H77" s="91"/>
      <c r="I77" s="61"/>
      <c r="J77" s="14"/>
    </row>
    <row r="78" spans="1:10" ht="18.75" customHeight="1" hidden="1">
      <c r="A78" s="87" t="s">
        <v>58</v>
      </c>
      <c r="B78" s="87"/>
      <c r="C78" s="88">
        <v>317</v>
      </c>
      <c r="D78" s="88"/>
      <c r="E78" s="54"/>
      <c r="F78" s="88"/>
      <c r="G78" s="91"/>
      <c r="H78" s="91"/>
      <c r="I78" s="91"/>
      <c r="J78" s="14"/>
    </row>
    <row r="79" spans="1:10" ht="18.75" customHeight="1" hidden="1">
      <c r="A79" s="87" t="s">
        <v>59</v>
      </c>
      <c r="B79" s="87"/>
      <c r="C79" s="88">
        <v>318</v>
      </c>
      <c r="D79" s="88"/>
      <c r="E79" s="54"/>
      <c r="F79" s="88"/>
      <c r="G79" s="91"/>
      <c r="H79" s="91"/>
      <c r="I79" s="91"/>
      <c r="J79" s="14"/>
    </row>
    <row r="80" spans="1:10" ht="18.75" customHeight="1">
      <c r="A80" s="87" t="s">
        <v>97</v>
      </c>
      <c r="B80" s="87"/>
      <c r="C80" s="88">
        <v>319</v>
      </c>
      <c r="D80" s="88"/>
      <c r="E80" s="89" t="s">
        <v>236</v>
      </c>
      <c r="F80" s="88"/>
      <c r="G80" s="91">
        <f>433236800+62250151</f>
        <v>495486951</v>
      </c>
      <c r="H80" s="91"/>
      <c r="I80" s="91">
        <v>2380516016</v>
      </c>
      <c r="J80" s="14"/>
    </row>
    <row r="81" spans="1:10" ht="18.75">
      <c r="A81" s="92" t="s">
        <v>148</v>
      </c>
      <c r="B81" s="82"/>
      <c r="C81" s="93">
        <v>330</v>
      </c>
      <c r="D81" s="79"/>
      <c r="E81" s="98"/>
      <c r="F81" s="79"/>
      <c r="G81" s="99">
        <f>SUM(G85:G87)</f>
        <v>8793363779</v>
      </c>
      <c r="H81" s="65">
        <f>SUM(H82:H86)</f>
        <v>0</v>
      </c>
      <c r="I81" s="99">
        <f>SUM(I85:I87)</f>
        <v>8381102173</v>
      </c>
      <c r="J81" s="15"/>
    </row>
    <row r="82" spans="1:10" ht="18.75" hidden="1">
      <c r="A82" s="87" t="s">
        <v>99</v>
      </c>
      <c r="B82" s="87"/>
      <c r="C82" s="88">
        <v>331</v>
      </c>
      <c r="D82" s="88"/>
      <c r="E82" s="100"/>
      <c r="F82" s="79"/>
      <c r="G82" s="96"/>
      <c r="H82" s="96"/>
      <c r="I82" s="96"/>
      <c r="J82" s="24"/>
    </row>
    <row r="83" spans="1:10" ht="18.75" hidden="1">
      <c r="A83" s="87" t="s">
        <v>212</v>
      </c>
      <c r="B83" s="87"/>
      <c r="C83" s="88">
        <v>322</v>
      </c>
      <c r="D83" s="88"/>
      <c r="E83" s="100"/>
      <c r="F83" s="79"/>
      <c r="G83" s="96"/>
      <c r="H83" s="96"/>
      <c r="I83" s="96"/>
      <c r="J83" s="24"/>
    </row>
    <row r="84" spans="1:10" ht="18.75" hidden="1">
      <c r="A84" s="87" t="s">
        <v>213</v>
      </c>
      <c r="B84" s="87"/>
      <c r="C84" s="88">
        <v>323</v>
      </c>
      <c r="D84" s="88"/>
      <c r="E84" s="100"/>
      <c r="F84" s="79"/>
      <c r="G84" s="96"/>
      <c r="H84" s="96"/>
      <c r="I84" s="96"/>
      <c r="J84" s="24"/>
    </row>
    <row r="85" spans="1:10" ht="18.75">
      <c r="A85" s="87" t="s">
        <v>394</v>
      </c>
      <c r="B85" s="87"/>
      <c r="C85" s="88">
        <v>333</v>
      </c>
      <c r="D85" s="88"/>
      <c r="E85" s="100"/>
      <c r="F85" s="79"/>
      <c r="G85" s="91"/>
      <c r="H85" s="96"/>
      <c r="I85" s="91">
        <v>20000000</v>
      </c>
      <c r="J85" s="24"/>
    </row>
    <row r="86" spans="1:10" ht="18.75" customHeight="1" hidden="1">
      <c r="A86" s="87" t="s">
        <v>100</v>
      </c>
      <c r="B86" s="87"/>
      <c r="C86" s="88">
        <v>334</v>
      </c>
      <c r="D86" s="88"/>
      <c r="E86" s="89" t="s">
        <v>237</v>
      </c>
      <c r="F86" s="88"/>
      <c r="G86" s="91"/>
      <c r="H86" s="91"/>
      <c r="I86" s="91"/>
      <c r="J86" s="14"/>
    </row>
    <row r="87" spans="1:10" ht="18.75" customHeight="1">
      <c r="A87" s="87" t="s">
        <v>560</v>
      </c>
      <c r="B87" s="87"/>
      <c r="C87" s="88">
        <v>334</v>
      </c>
      <c r="D87" s="88"/>
      <c r="E87" s="89"/>
      <c r="F87" s="88"/>
      <c r="G87" s="91">
        <f>632000000+8161363779</f>
        <v>8793363779</v>
      </c>
      <c r="H87" s="91"/>
      <c r="I87" s="91">
        <v>8361102173</v>
      </c>
      <c r="J87" s="14"/>
    </row>
    <row r="88" spans="1:10" ht="21.75" customHeight="1">
      <c r="A88" s="153" t="s">
        <v>145</v>
      </c>
      <c r="B88" s="78"/>
      <c r="C88" s="83">
        <v>400</v>
      </c>
      <c r="D88" s="79"/>
      <c r="E88" s="97"/>
      <c r="F88" s="79"/>
      <c r="G88" s="86">
        <f>G89+G95</f>
        <v>113176211837</v>
      </c>
      <c r="H88" s="65"/>
      <c r="I88" s="86">
        <f>I89+I95</f>
        <v>53254590760</v>
      </c>
      <c r="J88" s="15"/>
    </row>
    <row r="89" spans="1:10" ht="21.75" customHeight="1">
      <c r="A89" s="92" t="s">
        <v>149</v>
      </c>
      <c r="B89" s="82"/>
      <c r="C89" s="93">
        <v>410</v>
      </c>
      <c r="D89" s="79"/>
      <c r="E89" s="98"/>
      <c r="F89" s="79"/>
      <c r="G89" s="99">
        <f>SUM(G90:G94)</f>
        <v>113570641837</v>
      </c>
      <c r="H89" s="65"/>
      <c r="I89" s="99">
        <f>SUM(I90:I94)</f>
        <v>53656838012</v>
      </c>
      <c r="J89" s="15"/>
    </row>
    <row r="90" spans="1:10" ht="19.5" customHeight="1">
      <c r="A90" s="87" t="s">
        <v>101</v>
      </c>
      <c r="B90" s="87"/>
      <c r="C90" s="88">
        <v>411</v>
      </c>
      <c r="D90" s="88"/>
      <c r="E90" s="54" t="s">
        <v>238</v>
      </c>
      <c r="F90" s="88"/>
      <c r="G90" s="91">
        <v>54483550000</v>
      </c>
      <c r="H90" s="91"/>
      <c r="I90" s="91">
        <v>30000000000</v>
      </c>
      <c r="J90" s="14"/>
    </row>
    <row r="91" spans="1:10" ht="18.75" customHeight="1">
      <c r="A91" s="87" t="s">
        <v>198</v>
      </c>
      <c r="B91" s="87"/>
      <c r="C91" s="88">
        <v>412</v>
      </c>
      <c r="D91" s="88"/>
      <c r="E91" s="54"/>
      <c r="F91" s="79"/>
      <c r="G91" s="91">
        <f>47096692432-5000000000</f>
        <v>42096692432</v>
      </c>
      <c r="H91" s="91"/>
      <c r="I91" s="91">
        <f>16955733050-5000000000</f>
        <v>11955733050</v>
      </c>
      <c r="J91" s="14"/>
    </row>
    <row r="92" spans="1:10" ht="18.75" customHeight="1">
      <c r="A92" s="87" t="s">
        <v>102</v>
      </c>
      <c r="B92" s="87"/>
      <c r="C92" s="88">
        <v>416</v>
      </c>
      <c r="D92" s="88"/>
      <c r="E92" s="54" t="s">
        <v>238</v>
      </c>
      <c r="F92" s="88"/>
      <c r="G92" s="91">
        <v>5287848558</v>
      </c>
      <c r="H92" s="91"/>
      <c r="I92" s="91">
        <f>166798714+5000000000</f>
        <v>5166798714</v>
      </c>
      <c r="J92" s="14"/>
    </row>
    <row r="93" spans="1:10" ht="18.75" customHeight="1">
      <c r="A93" s="87" t="s">
        <v>103</v>
      </c>
      <c r="B93" s="87"/>
      <c r="C93" s="88">
        <v>417</v>
      </c>
      <c r="D93" s="88"/>
      <c r="E93" s="54" t="s">
        <v>238</v>
      </c>
      <c r="F93" s="88"/>
      <c r="G93" s="91">
        <v>1695000000</v>
      </c>
      <c r="H93" s="91"/>
      <c r="I93" s="91">
        <f>639158962+710841038</f>
        <v>1350000000</v>
      </c>
      <c r="J93" s="14"/>
    </row>
    <row r="94" spans="1:13" ht="18.75" customHeight="1">
      <c r="A94" s="87" t="s">
        <v>104</v>
      </c>
      <c r="B94" s="87"/>
      <c r="C94" s="90">
        <v>419</v>
      </c>
      <c r="D94" s="90"/>
      <c r="E94" s="80"/>
      <c r="F94" s="79"/>
      <c r="G94" s="91">
        <f>3517393645+6490157202</f>
        <v>10007550847</v>
      </c>
      <c r="H94" s="91"/>
      <c r="I94" s="91">
        <v>5184306248</v>
      </c>
      <c r="J94" s="14"/>
      <c r="K94" s="14"/>
      <c r="L94" s="14"/>
      <c r="M94" s="41"/>
    </row>
    <row r="95" spans="1:11" ht="20.25" customHeight="1">
      <c r="A95" s="81" t="s">
        <v>150</v>
      </c>
      <c r="B95" s="82"/>
      <c r="C95" s="83">
        <v>430</v>
      </c>
      <c r="D95" s="79"/>
      <c r="E95" s="84"/>
      <c r="F95" s="79"/>
      <c r="G95" s="86">
        <f>G96</f>
        <v>-394430000</v>
      </c>
      <c r="H95" s="65"/>
      <c r="I95" s="86">
        <f>I96</f>
        <v>-402247252</v>
      </c>
      <c r="J95" s="15"/>
      <c r="K95" s="41"/>
    </row>
    <row r="96" spans="1:13" ht="17.25">
      <c r="A96" s="87" t="s">
        <v>105</v>
      </c>
      <c r="B96" s="154"/>
      <c r="C96" s="90" t="s">
        <v>131</v>
      </c>
      <c r="D96" s="88"/>
      <c r="E96" s="80"/>
      <c r="F96" s="79"/>
      <c r="G96" s="91">
        <f>-161510000-232920000</f>
        <v>-394430000</v>
      </c>
      <c r="H96" s="91"/>
      <c r="I96" s="91">
        <v>-402247252</v>
      </c>
      <c r="J96" s="14"/>
      <c r="K96" s="25"/>
      <c r="M96" s="25"/>
    </row>
    <row r="97" spans="1:10" ht="17.25" hidden="1">
      <c r="A97" s="87" t="s">
        <v>77</v>
      </c>
      <c r="B97" s="87"/>
      <c r="C97" s="88">
        <v>423</v>
      </c>
      <c r="D97" s="88"/>
      <c r="E97" s="80"/>
      <c r="F97" s="79"/>
      <c r="G97" s="91"/>
      <c r="H97" s="91"/>
      <c r="I97" s="91"/>
      <c r="J97" s="14"/>
    </row>
    <row r="98" spans="1:14" ht="21.75" customHeight="1" thickBot="1">
      <c r="A98" s="544" t="s">
        <v>142</v>
      </c>
      <c r="B98" s="544"/>
      <c r="C98" s="545">
        <v>440</v>
      </c>
      <c r="D98" s="545"/>
      <c r="E98" s="546"/>
      <c r="F98" s="545"/>
      <c r="G98" s="547">
        <f>G88+G70</f>
        <v>141650060043</v>
      </c>
      <c r="H98" s="547"/>
      <c r="I98" s="547">
        <f>I88+I70</f>
        <v>93703382950</v>
      </c>
      <c r="J98" s="29"/>
      <c r="K98" s="25">
        <f>I98-I64</f>
        <v>0</v>
      </c>
      <c r="L98" s="25">
        <f>L94-K94-K96</f>
        <v>0</v>
      </c>
      <c r="M98" s="25"/>
      <c r="N98" s="25"/>
    </row>
    <row r="99" spans="1:11" ht="14.25" customHeight="1" thickTop="1">
      <c r="A99" s="4"/>
      <c r="B99" s="156"/>
      <c r="C99" s="157"/>
      <c r="D99" s="157"/>
      <c r="E99" s="144"/>
      <c r="F99" s="144"/>
      <c r="G99" s="158"/>
      <c r="H99" s="158"/>
      <c r="I99" s="159"/>
      <c r="J99" s="31"/>
      <c r="K99" s="30">
        <f>G98-G64</f>
        <v>0</v>
      </c>
    </row>
    <row r="100" spans="1:13" s="42" customFormat="1" ht="25.5" customHeight="1">
      <c r="A100" s="211" t="s">
        <v>154</v>
      </c>
      <c r="B100" s="211"/>
      <c r="C100" s="212"/>
      <c r="D100" s="212"/>
      <c r="E100" s="213"/>
      <c r="F100" s="213"/>
      <c r="G100" s="158"/>
      <c r="H100" s="158"/>
      <c r="I100" s="159"/>
      <c r="J100" s="214"/>
      <c r="K100" s="215"/>
      <c r="L100" s="215"/>
      <c r="M100" s="215"/>
    </row>
    <row r="101" spans="1:13" ht="33.75" customHeight="1">
      <c r="A101" s="168" t="s">
        <v>136</v>
      </c>
      <c r="B101" s="168"/>
      <c r="C101" s="169"/>
      <c r="D101" s="169"/>
      <c r="E101" s="148" t="s">
        <v>172</v>
      </c>
      <c r="F101" s="148"/>
      <c r="G101" s="642" t="s">
        <v>596</v>
      </c>
      <c r="H101" s="149"/>
      <c r="I101" s="642" t="s">
        <v>601</v>
      </c>
      <c r="J101" s="32"/>
      <c r="K101" s="25"/>
      <c r="L101" s="25"/>
      <c r="M101" s="25"/>
    </row>
    <row r="102" spans="1:13" ht="21.75" customHeight="1" thickBot="1">
      <c r="A102" s="207" t="s">
        <v>584</v>
      </c>
      <c r="B102" s="207"/>
      <c r="C102" s="208"/>
      <c r="D102" s="208"/>
      <c r="E102" s="209"/>
      <c r="F102" s="209"/>
      <c r="G102" s="216">
        <f>422.46+511.45</f>
        <v>933.91</v>
      </c>
      <c r="H102" s="210"/>
      <c r="I102" s="216">
        <f>440.61+1495.21</f>
        <v>1935.8200000000002</v>
      </c>
      <c r="J102" s="32"/>
      <c r="K102" s="25"/>
      <c r="L102" s="25"/>
      <c r="M102" s="25"/>
    </row>
    <row r="103" spans="1:13" ht="1.5" customHeight="1" thickTop="1">
      <c r="A103" s="4"/>
      <c r="B103" s="156"/>
      <c r="C103" s="157"/>
      <c r="D103" s="157"/>
      <c r="E103" s="144"/>
      <c r="F103" s="144"/>
      <c r="G103" s="160"/>
      <c r="H103" s="160"/>
      <c r="I103" s="160"/>
      <c r="J103" s="32"/>
      <c r="K103" s="25"/>
      <c r="L103" s="25"/>
      <c r="M103" s="25"/>
    </row>
    <row r="104" spans="1:13" ht="18" customHeight="1">
      <c r="A104" s="4"/>
      <c r="B104" s="156"/>
      <c r="C104" s="157"/>
      <c r="D104" s="157"/>
      <c r="E104" s="144"/>
      <c r="F104" s="144"/>
      <c r="G104" s="933" t="s">
        <v>602</v>
      </c>
      <c r="H104" s="933"/>
      <c r="I104" s="933"/>
      <c r="J104" s="32"/>
      <c r="K104" s="25"/>
      <c r="L104" s="25"/>
      <c r="M104" s="25"/>
    </row>
    <row r="105" spans="1:12" ht="28.5" customHeight="1">
      <c r="A105" s="161" t="s">
        <v>340</v>
      </c>
      <c r="B105" s="161"/>
      <c r="C105" s="162"/>
      <c r="D105" s="162"/>
      <c r="E105" s="79"/>
      <c r="F105" s="79"/>
      <c r="G105" s="932" t="s">
        <v>392</v>
      </c>
      <c r="H105" s="932"/>
      <c r="I105" s="932"/>
      <c r="J105" s="33"/>
      <c r="L105" s="25"/>
    </row>
    <row r="106" spans="1:12" ht="36" customHeight="1">
      <c r="A106" s="161"/>
      <c r="B106" s="161"/>
      <c r="C106" s="162"/>
      <c r="D106" s="162"/>
      <c r="E106" s="79"/>
      <c r="F106" s="79"/>
      <c r="G106" s="163"/>
      <c r="H106" s="163"/>
      <c r="I106" s="164"/>
      <c r="J106" s="34"/>
      <c r="L106" s="25"/>
    </row>
    <row r="107" spans="1:10" ht="36" customHeight="1">
      <c r="A107" s="161"/>
      <c r="B107" s="161"/>
      <c r="C107" s="162"/>
      <c r="D107" s="162"/>
      <c r="E107" s="79"/>
      <c r="F107" s="79"/>
      <c r="G107" s="163"/>
      <c r="H107" s="163"/>
      <c r="I107" s="164"/>
      <c r="J107" s="34"/>
    </row>
    <row r="108" spans="1:10" ht="19.5" customHeight="1">
      <c r="A108" s="161"/>
      <c r="B108" s="161"/>
      <c r="C108" s="162"/>
      <c r="D108" s="162"/>
      <c r="E108" s="79"/>
      <c r="F108" s="79"/>
      <c r="G108" s="163"/>
      <c r="H108" s="163"/>
      <c r="I108" s="164"/>
      <c r="J108" s="34"/>
    </row>
    <row r="109" spans="1:10" ht="19.5" customHeight="1">
      <c r="A109" s="161"/>
      <c r="B109" s="161"/>
      <c r="C109" s="162"/>
      <c r="D109" s="162"/>
      <c r="E109" s="79"/>
      <c r="F109" s="79"/>
      <c r="G109" s="163"/>
      <c r="H109" s="163"/>
      <c r="I109" s="164"/>
      <c r="J109" s="34"/>
    </row>
    <row r="110" spans="1:9" ht="21.75" customHeight="1">
      <c r="A110" s="58" t="s">
        <v>154</v>
      </c>
      <c r="B110" s="165"/>
      <c r="C110" s="59"/>
      <c r="D110" s="59"/>
      <c r="E110" s="166"/>
      <c r="F110" s="166"/>
      <c r="G110" s="61"/>
      <c r="H110" s="61"/>
      <c r="I110" s="64"/>
    </row>
    <row r="111" spans="1:10" ht="50.25" customHeight="1">
      <c r="A111" s="167" t="s">
        <v>136</v>
      </c>
      <c r="B111" s="168"/>
      <c r="C111" s="169"/>
      <c r="D111" s="169"/>
      <c r="E111" s="170" t="s">
        <v>172</v>
      </c>
      <c r="F111" s="171"/>
      <c r="G111" s="149" t="s">
        <v>596</v>
      </c>
      <c r="H111" s="172"/>
      <c r="I111" s="893" t="s">
        <v>75</v>
      </c>
      <c r="J111" s="35"/>
    </row>
    <row r="112" spans="1:9" ht="9" customHeight="1">
      <c r="A112" s="173"/>
      <c r="B112" s="8"/>
      <c r="C112" s="174"/>
      <c r="D112" s="174"/>
      <c r="E112" s="175"/>
      <c r="F112" s="176"/>
      <c r="G112" s="177"/>
      <c r="H112" s="178"/>
      <c r="I112" s="177"/>
    </row>
    <row r="113" spans="1:9" ht="18.75" customHeight="1">
      <c r="A113" s="179" t="s">
        <v>155</v>
      </c>
      <c r="B113" s="180"/>
      <c r="C113" s="174"/>
      <c r="D113" s="174"/>
      <c r="E113" s="175"/>
      <c r="F113" s="176"/>
      <c r="G113" s="177"/>
      <c r="H113" s="178"/>
      <c r="I113" s="177"/>
    </row>
    <row r="114" spans="1:9" ht="18.75" customHeight="1">
      <c r="A114" s="179" t="s">
        <v>156</v>
      </c>
      <c r="B114" s="180"/>
      <c r="C114" s="174"/>
      <c r="D114" s="174"/>
      <c r="E114" s="175"/>
      <c r="F114" s="176"/>
      <c r="G114" s="177"/>
      <c r="H114" s="178"/>
      <c r="I114" s="177"/>
    </row>
    <row r="115" spans="1:9" ht="18.75" customHeight="1">
      <c r="A115" s="179" t="s">
        <v>157</v>
      </c>
      <c r="B115" s="180"/>
      <c r="C115" s="174"/>
      <c r="D115" s="174"/>
      <c r="E115" s="175"/>
      <c r="F115" s="176"/>
      <c r="G115" s="177"/>
      <c r="H115" s="178"/>
      <c r="I115" s="177"/>
    </row>
    <row r="116" spans="1:10" ht="18.75" customHeight="1">
      <c r="A116" s="179" t="s">
        <v>158</v>
      </c>
      <c r="B116" s="180"/>
      <c r="C116" s="174"/>
      <c r="D116" s="174"/>
      <c r="E116" s="175"/>
      <c r="F116" s="176"/>
      <c r="G116" s="181"/>
      <c r="H116" s="182"/>
      <c r="I116" s="181"/>
      <c r="J116" s="37"/>
    </row>
    <row r="117" spans="1:9" ht="18.75" customHeight="1">
      <c r="A117" s="179" t="s">
        <v>159</v>
      </c>
      <c r="B117" s="180"/>
      <c r="C117" s="174"/>
      <c r="D117" s="174"/>
      <c r="E117" s="175"/>
      <c r="F117" s="176"/>
      <c r="G117" s="177"/>
      <c r="H117" s="178"/>
      <c r="I117" s="177"/>
    </row>
    <row r="118" spans="1:9" ht="18.75" customHeight="1">
      <c r="A118" s="179" t="s">
        <v>160</v>
      </c>
      <c r="B118" s="180"/>
      <c r="C118" s="174"/>
      <c r="D118" s="174"/>
      <c r="E118" s="175"/>
      <c r="F118" s="176"/>
      <c r="G118" s="177"/>
      <c r="H118" s="178"/>
      <c r="I118" s="177"/>
    </row>
    <row r="119" spans="1:9" ht="18.75" customHeight="1">
      <c r="A119" s="179" t="s">
        <v>367</v>
      </c>
      <c r="B119" s="8"/>
      <c r="C119" s="174"/>
      <c r="D119" s="174"/>
      <c r="E119" s="175"/>
      <c r="F119" s="183"/>
      <c r="G119" s="184"/>
      <c r="H119" s="64"/>
      <c r="I119" s="177"/>
    </row>
    <row r="120" spans="1:9" ht="9.75" customHeight="1">
      <c r="A120" s="185"/>
      <c r="B120" s="155"/>
      <c r="C120" s="67"/>
      <c r="D120" s="67"/>
      <c r="E120" s="186"/>
      <c r="F120" s="68"/>
      <c r="G120" s="187"/>
      <c r="H120" s="69"/>
      <c r="I120" s="188"/>
    </row>
    <row r="121" spans="1:9" ht="18" customHeight="1">
      <c r="A121" s="8"/>
      <c r="B121" s="189"/>
      <c r="C121" s="174"/>
      <c r="D121" s="174"/>
      <c r="E121" s="166"/>
      <c r="F121" s="166"/>
      <c r="G121" s="64"/>
      <c r="H121" s="64"/>
      <c r="I121" s="64"/>
    </row>
    <row r="122" spans="1:9" ht="18" customHeight="1">
      <c r="A122" s="190" t="s">
        <v>55</v>
      </c>
      <c r="B122" s="189"/>
      <c r="C122" s="174"/>
      <c r="D122" s="174"/>
      <c r="E122" s="166"/>
      <c r="F122" s="166"/>
      <c r="G122" s="64"/>
      <c r="H122" s="64"/>
      <c r="I122" s="64"/>
    </row>
    <row r="123" spans="1:9" ht="18" customHeight="1">
      <c r="A123" s="190" t="s">
        <v>56</v>
      </c>
      <c r="B123" s="189"/>
      <c r="C123" s="174"/>
      <c r="D123" s="174"/>
      <c r="E123" s="166"/>
      <c r="F123" s="166"/>
      <c r="G123" s="64"/>
      <c r="H123" s="64"/>
      <c r="I123" s="64"/>
    </row>
    <row r="124" spans="1:9" ht="18" customHeight="1">
      <c r="A124" s="191" t="s">
        <v>57</v>
      </c>
      <c r="B124" s="189"/>
      <c r="C124" s="174"/>
      <c r="D124" s="174"/>
      <c r="E124" s="166"/>
      <c r="F124" s="166"/>
      <c r="G124" s="64"/>
      <c r="H124" s="64"/>
      <c r="I124" s="64"/>
    </row>
    <row r="125" spans="1:10" ht="17.25">
      <c r="A125" s="4"/>
      <c r="B125" s="156"/>
      <c r="C125" s="157"/>
      <c r="D125" s="157"/>
      <c r="E125" s="144"/>
      <c r="F125" s="144"/>
      <c r="G125" s="934" t="str">
        <f>G104</f>
        <v>Ngaøy 21 thaùng 01 naêm 2008</v>
      </c>
      <c r="H125" s="934"/>
      <c r="I125" s="934"/>
      <c r="J125" s="38"/>
    </row>
    <row r="126" spans="1:10" ht="18" customHeight="1">
      <c r="A126" s="156"/>
      <c r="B126" s="161"/>
      <c r="C126" s="162"/>
      <c r="D126" s="162"/>
      <c r="E126" s="79"/>
      <c r="F126" s="79"/>
      <c r="G126" s="932" t="s">
        <v>162</v>
      </c>
      <c r="H126" s="932"/>
      <c r="I126" s="932"/>
      <c r="J126" s="33"/>
    </row>
    <row r="127" spans="1:10" ht="18" customHeight="1">
      <c r="A127" s="8"/>
      <c r="B127" s="192"/>
      <c r="C127" s="162"/>
      <c r="D127" s="162"/>
      <c r="E127" s="79"/>
      <c r="F127" s="79"/>
      <c r="G127" s="193"/>
      <c r="H127" s="193"/>
      <c r="I127" s="194"/>
      <c r="J127" s="40"/>
    </row>
    <row r="128" ht="18.75">
      <c r="A128" s="39"/>
    </row>
  </sheetData>
  <mergeCells count="4">
    <mergeCell ref="G126:I126"/>
    <mergeCell ref="G104:I104"/>
    <mergeCell ref="G125:I125"/>
    <mergeCell ref="G105:I105"/>
  </mergeCells>
  <printOptions/>
  <pageMargins left="0.8" right="0.1" top="0.5" bottom="0.2" header="0.25" footer="0.2"/>
  <pageSetup horizontalDpi="600" verticalDpi="600" orientation="portrait" paperSize="9" r:id="rId1"/>
  <headerFooter alignWithMargins="0">
    <oddFooter xml:space="preserve">&amp;L&amp;"VNI-Helve-Condense,Italic"&amp;9  Caùc thuyeát minh töø trang 8 ñeán trang 15 laø phaàn khoâng theå taùch rôøi cuûa baùo caùo naøy&amp;R&amp;"VNI-Helve-Condense,Italic"&amp;9Trang &amp;P+0 </oddFooter>
  </headerFooter>
</worksheet>
</file>

<file path=xl/worksheets/sheet5.xml><?xml version="1.0" encoding="utf-8"?>
<worksheet xmlns="http://schemas.openxmlformats.org/spreadsheetml/2006/main" xmlns:r="http://schemas.openxmlformats.org/officeDocument/2006/relationships">
  <dimension ref="A1:I33"/>
  <sheetViews>
    <sheetView workbookViewId="0" topLeftCell="A2">
      <selection activeCell="E14" sqref="E14"/>
    </sheetView>
  </sheetViews>
  <sheetFormatPr defaultColWidth="9" defaultRowHeight="14.25"/>
  <cols>
    <col min="1" max="1" width="46.5" style="4" customWidth="1"/>
    <col min="2" max="2" width="5.59765625" style="4" customWidth="1"/>
    <col min="3" max="3" width="9.09765625" style="165" customWidth="1"/>
    <col min="4" max="4" width="18.09765625" style="6" customWidth="1"/>
    <col min="5" max="5" width="15.3984375" style="248" customWidth="1"/>
    <col min="6" max="6" width="16.19921875" style="4" customWidth="1"/>
    <col min="7" max="7" width="17.8984375" style="4" customWidth="1"/>
    <col min="8" max="8" width="21.5" style="4" customWidth="1"/>
    <col min="9" max="9" width="27.19921875" style="4" customWidth="1"/>
    <col min="10" max="16384" width="9" style="4" customWidth="1"/>
  </cols>
  <sheetData>
    <row r="1" spans="1:7" ht="19.5" customHeight="1">
      <c r="A1" s="58" t="s">
        <v>483</v>
      </c>
      <c r="B1" s="217"/>
      <c r="C1" s="217"/>
      <c r="D1" s="218"/>
      <c r="E1" s="219"/>
      <c r="F1" s="220" t="s">
        <v>214</v>
      </c>
      <c r="G1" s="221"/>
    </row>
    <row r="2" spans="1:7" ht="24" customHeight="1">
      <c r="A2" s="195" t="s">
        <v>262</v>
      </c>
      <c r="B2" s="222"/>
      <c r="C2" s="222"/>
      <c r="D2" s="223"/>
      <c r="E2" s="224"/>
      <c r="F2" s="225"/>
      <c r="G2" s="225"/>
    </row>
    <row r="3" spans="1:7" ht="19.5" customHeight="1">
      <c r="A3" s="58" t="s">
        <v>597</v>
      </c>
      <c r="B3" s="217"/>
      <c r="C3" s="217"/>
      <c r="D3" s="218"/>
      <c r="E3" s="219"/>
      <c r="F3" s="220" t="s">
        <v>480</v>
      </c>
      <c r="G3" s="221"/>
    </row>
    <row r="4" spans="1:7" ht="3" customHeight="1">
      <c r="A4" s="227"/>
      <c r="B4" s="227"/>
      <c r="C4" s="228"/>
      <c r="D4" s="229"/>
      <c r="E4" s="229"/>
      <c r="F4" s="230"/>
      <c r="G4" s="91"/>
    </row>
    <row r="5" spans="1:7" ht="24" customHeight="1" thickBot="1">
      <c r="A5" s="231"/>
      <c r="B5" s="231"/>
      <c r="C5" s="232"/>
      <c r="D5" s="233"/>
      <c r="E5" s="233"/>
      <c r="F5" s="158"/>
      <c r="G5" s="643"/>
    </row>
    <row r="6" spans="1:7" ht="33.75" customHeight="1" thickBot="1">
      <c r="A6" s="936" t="s">
        <v>146</v>
      </c>
      <c r="B6" s="936" t="s">
        <v>161</v>
      </c>
      <c r="C6" s="938" t="s">
        <v>172</v>
      </c>
      <c r="D6" s="935" t="s">
        <v>598</v>
      </c>
      <c r="E6" s="935"/>
      <c r="F6" s="935" t="s">
        <v>562</v>
      </c>
      <c r="G6" s="935"/>
    </row>
    <row r="7" spans="1:7" ht="33.75" customHeight="1" thickBot="1">
      <c r="A7" s="937"/>
      <c r="B7" s="937"/>
      <c r="C7" s="939"/>
      <c r="D7" s="644" t="s">
        <v>563</v>
      </c>
      <c r="E7" s="645" t="s">
        <v>564</v>
      </c>
      <c r="F7" s="644" t="s">
        <v>563</v>
      </c>
      <c r="G7" s="645" t="s">
        <v>564</v>
      </c>
    </row>
    <row r="8" spans="1:9" ht="24.75" customHeight="1">
      <c r="A8" s="646" t="s">
        <v>106</v>
      </c>
      <c r="B8" s="647" t="s">
        <v>134</v>
      </c>
      <c r="C8" s="648" t="s">
        <v>258</v>
      </c>
      <c r="D8" s="649">
        <f>16535325013+30199300439</f>
        <v>46734625452</v>
      </c>
      <c r="E8" s="649">
        <f>25744278552+41319185622</f>
        <v>67063464174</v>
      </c>
      <c r="F8" s="649">
        <f>D8+H8</f>
        <v>173438001922</v>
      </c>
      <c r="G8" s="649">
        <v>151930670115</v>
      </c>
      <c r="H8" s="905">
        <v>126703376470</v>
      </c>
      <c r="I8" s="906">
        <f>D8+H8</f>
        <v>173438001922</v>
      </c>
    </row>
    <row r="9" spans="1:9" ht="19.5" customHeight="1">
      <c r="A9" s="650" t="s">
        <v>395</v>
      </c>
      <c r="B9" s="651" t="s">
        <v>135</v>
      </c>
      <c r="C9" s="652"/>
      <c r="D9" s="653">
        <v>436566592</v>
      </c>
      <c r="E9" s="654">
        <v>0</v>
      </c>
      <c r="F9" s="677">
        <f>D9+H9</f>
        <v>533558368</v>
      </c>
      <c r="G9" s="654">
        <v>103271760</v>
      </c>
      <c r="H9" s="907">
        <v>96991776</v>
      </c>
      <c r="I9" s="906">
        <f aca="true" t="shared" si="0" ref="I9:I27">D9+H9</f>
        <v>533558368</v>
      </c>
    </row>
    <row r="10" spans="1:9" ht="21.75" customHeight="1">
      <c r="A10" s="655" t="s">
        <v>107</v>
      </c>
      <c r="B10" s="656" t="s">
        <v>215</v>
      </c>
      <c r="C10" s="652"/>
      <c r="D10" s="657">
        <f>D8-D9</f>
        <v>46298058860</v>
      </c>
      <c r="E10" s="658">
        <f>E8-E9</f>
        <v>67063464174</v>
      </c>
      <c r="F10" s="659">
        <f>F8-F9</f>
        <v>172904443554</v>
      </c>
      <c r="G10" s="658">
        <f>G8-G9</f>
        <v>151827398355</v>
      </c>
      <c r="H10" s="905">
        <f>H8-H9</f>
        <v>126606384694</v>
      </c>
      <c r="I10" s="906">
        <f t="shared" si="0"/>
        <v>172904443554</v>
      </c>
    </row>
    <row r="11" spans="1:9" ht="19.5" customHeight="1">
      <c r="A11" s="650" t="s">
        <v>119</v>
      </c>
      <c r="B11" s="651">
        <v>11</v>
      </c>
      <c r="C11" s="652" t="s">
        <v>241</v>
      </c>
      <c r="D11" s="658">
        <f>14796328721+25528589540</f>
        <v>40324918261</v>
      </c>
      <c r="E11" s="660">
        <f>23062222696+36588321717</f>
        <v>59650544413</v>
      </c>
      <c r="F11" s="659">
        <f>D11+H11</f>
        <v>153313375225</v>
      </c>
      <c r="G11" s="660">
        <v>131507958273</v>
      </c>
      <c r="H11" s="905">
        <v>112988456964</v>
      </c>
      <c r="I11" s="906">
        <f t="shared" si="0"/>
        <v>153313375225</v>
      </c>
    </row>
    <row r="12" spans="1:9" ht="21.75" customHeight="1">
      <c r="A12" s="661" t="s">
        <v>108</v>
      </c>
      <c r="B12" s="662">
        <v>20</v>
      </c>
      <c r="C12" s="663"/>
      <c r="D12" s="658">
        <f>D10-D11</f>
        <v>5973140599</v>
      </c>
      <c r="E12" s="658">
        <f>E10-E11</f>
        <v>7412919761</v>
      </c>
      <c r="F12" s="659">
        <f>F10-F11</f>
        <v>19591068329</v>
      </c>
      <c r="G12" s="658">
        <f>G10-G11</f>
        <v>20319440082</v>
      </c>
      <c r="H12" s="905">
        <f>H10-H11</f>
        <v>13617927730</v>
      </c>
      <c r="I12" s="906">
        <f t="shared" si="0"/>
        <v>19591068329</v>
      </c>
    </row>
    <row r="13" spans="1:9" ht="19.5" customHeight="1">
      <c r="A13" s="650" t="s">
        <v>109</v>
      </c>
      <c r="B13" s="651">
        <v>21</v>
      </c>
      <c r="C13" s="652" t="s">
        <v>359</v>
      </c>
      <c r="D13" s="658">
        <v>202462214</v>
      </c>
      <c r="E13" s="660">
        <v>75484247</v>
      </c>
      <c r="F13" s="659">
        <f>D13+H13</f>
        <v>645625427</v>
      </c>
      <c r="G13" s="660">
        <v>148882566</v>
      </c>
      <c r="H13" s="905">
        <v>443163213</v>
      </c>
      <c r="I13" s="906">
        <f t="shared" si="0"/>
        <v>645625427</v>
      </c>
    </row>
    <row r="14" spans="1:9" ht="19.5" customHeight="1">
      <c r="A14" s="650" t="s">
        <v>360</v>
      </c>
      <c r="B14" s="651">
        <v>22</v>
      </c>
      <c r="C14" s="652" t="s">
        <v>242</v>
      </c>
      <c r="D14" s="658">
        <v>162077461</v>
      </c>
      <c r="E14" s="660">
        <v>160987261</v>
      </c>
      <c r="F14" s="659">
        <f>D14+H14</f>
        <v>898186027</v>
      </c>
      <c r="G14" s="660">
        <v>346704696</v>
      </c>
      <c r="H14" s="905">
        <v>736108566</v>
      </c>
      <c r="I14" s="906">
        <f t="shared" si="0"/>
        <v>898186027</v>
      </c>
    </row>
    <row r="15" spans="1:9" ht="19.5" customHeight="1">
      <c r="A15" s="664" t="s">
        <v>396</v>
      </c>
      <c r="B15" s="665">
        <v>23</v>
      </c>
      <c r="C15" s="666"/>
      <c r="D15" s="678">
        <v>53620550</v>
      </c>
      <c r="E15" s="667">
        <v>98618461</v>
      </c>
      <c r="F15" s="668">
        <f>D15+H15</f>
        <v>653058707</v>
      </c>
      <c r="G15" s="667">
        <v>250614187</v>
      </c>
      <c r="H15" s="908">
        <v>599438157</v>
      </c>
      <c r="I15" s="906">
        <f t="shared" si="0"/>
        <v>653058707</v>
      </c>
    </row>
    <row r="16" spans="1:9" ht="19.5" customHeight="1">
      <c r="A16" s="650" t="s">
        <v>110</v>
      </c>
      <c r="B16" s="651">
        <v>24</v>
      </c>
      <c r="C16" s="652"/>
      <c r="D16" s="658">
        <v>1910045546</v>
      </c>
      <c r="E16" s="660">
        <v>3843593596</v>
      </c>
      <c r="F16" s="659">
        <f>D16+H16</f>
        <v>8452082590</v>
      </c>
      <c r="G16" s="660">
        <v>10133972233</v>
      </c>
      <c r="H16" s="905">
        <v>6542037044</v>
      </c>
      <c r="I16" s="906">
        <f t="shared" si="0"/>
        <v>8452082590</v>
      </c>
    </row>
    <row r="17" spans="1:9" ht="19.5" customHeight="1">
      <c r="A17" s="650" t="s">
        <v>111</v>
      </c>
      <c r="B17" s="651">
        <v>25</v>
      </c>
      <c r="C17" s="652"/>
      <c r="D17" s="658">
        <v>830677509</v>
      </c>
      <c r="E17" s="660">
        <v>888019946</v>
      </c>
      <c r="F17" s="659">
        <f>D17+H17</f>
        <v>3289052734</v>
      </c>
      <c r="G17" s="660">
        <v>2637134221</v>
      </c>
      <c r="H17" s="905">
        <v>2458375225</v>
      </c>
      <c r="I17" s="906">
        <f t="shared" si="0"/>
        <v>3289052734</v>
      </c>
    </row>
    <row r="18" spans="1:9" ht="21.75" customHeight="1">
      <c r="A18" s="669" t="s">
        <v>112</v>
      </c>
      <c r="B18" s="670">
        <v>30</v>
      </c>
      <c r="C18" s="652"/>
      <c r="D18" s="658">
        <f>D12+D13-D14-D16-D17</f>
        <v>3272802297</v>
      </c>
      <c r="E18" s="671">
        <f>E12+E13-E14-E16-E17</f>
        <v>2595803205</v>
      </c>
      <c r="F18" s="659">
        <f>F12+F13-F14-F16-F17</f>
        <v>7597372405</v>
      </c>
      <c r="G18" s="671">
        <f>G12+G13-G14-G16-G17</f>
        <v>7350511498</v>
      </c>
      <c r="H18" s="905">
        <f>H12+H13-H14-H16-H17</f>
        <v>4324570108</v>
      </c>
      <c r="I18" s="906">
        <f t="shared" si="0"/>
        <v>7597372405</v>
      </c>
    </row>
    <row r="19" spans="1:9" ht="19.5" customHeight="1">
      <c r="A19" s="650" t="s">
        <v>113</v>
      </c>
      <c r="B19" s="651">
        <v>31</v>
      </c>
      <c r="C19" s="652"/>
      <c r="D19" s="658">
        <v>27741273</v>
      </c>
      <c r="E19" s="654">
        <f>1678949330+3385806</f>
        <v>1682335136</v>
      </c>
      <c r="F19" s="659">
        <f>D19+H19</f>
        <v>703172243</v>
      </c>
      <c r="G19" s="660">
        <v>1928353736</v>
      </c>
      <c r="H19" s="905">
        <v>675430970</v>
      </c>
      <c r="I19" s="906">
        <f t="shared" si="0"/>
        <v>703172243</v>
      </c>
    </row>
    <row r="20" spans="1:9" ht="19.5" customHeight="1">
      <c r="A20" s="650" t="s">
        <v>114</v>
      </c>
      <c r="B20" s="651">
        <v>32</v>
      </c>
      <c r="C20" s="652"/>
      <c r="D20" s="658">
        <v>15237184</v>
      </c>
      <c r="E20" s="654">
        <v>1471564747</v>
      </c>
      <c r="F20" s="659">
        <f>D20+H20</f>
        <v>65237964</v>
      </c>
      <c r="G20" s="660">
        <v>1528976448</v>
      </c>
      <c r="H20" s="905">
        <v>50000780</v>
      </c>
      <c r="I20" s="906">
        <f t="shared" si="0"/>
        <v>65237964</v>
      </c>
    </row>
    <row r="21" spans="1:9" ht="19.5" customHeight="1">
      <c r="A21" s="672" t="s">
        <v>120</v>
      </c>
      <c r="B21" s="673">
        <v>40</v>
      </c>
      <c r="C21" s="652"/>
      <c r="D21" s="658">
        <f>D19-D20</f>
        <v>12504089</v>
      </c>
      <c r="E21" s="658">
        <f>E19-E20</f>
        <v>210770389</v>
      </c>
      <c r="F21" s="659">
        <f>F19-F20</f>
        <v>637934279</v>
      </c>
      <c r="G21" s="658">
        <f>G19-G20</f>
        <v>399377288</v>
      </c>
      <c r="H21" s="905">
        <f>H19-H20</f>
        <v>625430190</v>
      </c>
      <c r="I21" s="906">
        <f t="shared" si="0"/>
        <v>637934279</v>
      </c>
    </row>
    <row r="22" spans="1:9" ht="21.75" customHeight="1">
      <c r="A22" s="669" t="s">
        <v>121</v>
      </c>
      <c r="B22" s="670">
        <v>50</v>
      </c>
      <c r="C22" s="652"/>
      <c r="D22" s="658">
        <f>D18+D21</f>
        <v>3285306386</v>
      </c>
      <c r="E22" s="674">
        <f>E18+E21</f>
        <v>2806573594</v>
      </c>
      <c r="F22" s="659">
        <f>F18+F21</f>
        <v>8235306684</v>
      </c>
      <c r="G22" s="674">
        <f>G18+G21</f>
        <v>7749888786</v>
      </c>
      <c r="H22" s="905">
        <f>H18+H21</f>
        <v>4950000298</v>
      </c>
      <c r="I22" s="906">
        <f t="shared" si="0"/>
        <v>8235306684</v>
      </c>
    </row>
    <row r="23" spans="1:9" ht="19.5" customHeight="1">
      <c r="A23" s="650" t="s">
        <v>362</v>
      </c>
      <c r="B23" s="651"/>
      <c r="C23" s="652"/>
      <c r="D23" s="658">
        <v>91691318</v>
      </c>
      <c r="E23" s="660">
        <v>3001516784</v>
      </c>
      <c r="F23" s="659">
        <f>D23+H23</f>
        <v>2216080631</v>
      </c>
      <c r="G23" s="660">
        <v>8303270205</v>
      </c>
      <c r="H23" s="905">
        <v>2124389313</v>
      </c>
      <c r="I23" s="906">
        <f t="shared" si="0"/>
        <v>2216080631</v>
      </c>
    </row>
    <row r="24" spans="1:9" ht="21.75" customHeight="1">
      <c r="A24" s="669" t="s">
        <v>361</v>
      </c>
      <c r="B24" s="679">
        <v>51</v>
      </c>
      <c r="C24" s="652" t="s">
        <v>257</v>
      </c>
      <c r="D24" s="674">
        <f>D23*0.2*0.5</f>
        <v>9169131.8</v>
      </c>
      <c r="E24" s="674">
        <v>413008964</v>
      </c>
      <c r="F24" s="680">
        <f>D24+H24</f>
        <v>221608062.8</v>
      </c>
      <c r="G24" s="674">
        <v>1058157271</v>
      </c>
      <c r="H24" s="905">
        <v>212438931</v>
      </c>
      <c r="I24" s="906">
        <f t="shared" si="0"/>
        <v>221608062.8</v>
      </c>
    </row>
    <row r="25" spans="1:9" ht="19.5" customHeight="1">
      <c r="A25" s="676" t="s">
        <v>44</v>
      </c>
      <c r="B25" s="675"/>
      <c r="C25" s="652"/>
      <c r="D25" s="658">
        <f>D24</f>
        <v>9169131.8</v>
      </c>
      <c r="E25" s="658">
        <f>E24</f>
        <v>413008964</v>
      </c>
      <c r="F25" s="659">
        <f>F24</f>
        <v>221608062.8</v>
      </c>
      <c r="G25" s="658">
        <f>G24</f>
        <v>1058157271</v>
      </c>
      <c r="H25" s="905">
        <f>H24</f>
        <v>212438931</v>
      </c>
      <c r="I25" s="906">
        <f t="shared" si="0"/>
        <v>221608062.8</v>
      </c>
    </row>
    <row r="26" spans="1:9" ht="21.75" customHeight="1">
      <c r="A26" s="661" t="s">
        <v>358</v>
      </c>
      <c r="B26" s="675">
        <v>52</v>
      </c>
      <c r="C26" s="652"/>
      <c r="D26" s="658">
        <f>F26-H26</f>
        <v>0</v>
      </c>
      <c r="E26" s="658"/>
      <c r="F26" s="659"/>
      <c r="G26" s="658"/>
      <c r="H26" s="905">
        <f>F26</f>
        <v>0</v>
      </c>
      <c r="I26" s="906">
        <f t="shared" si="0"/>
        <v>0</v>
      </c>
    </row>
    <row r="27" spans="1:9" ht="21.75" customHeight="1">
      <c r="A27" s="672" t="s">
        <v>357</v>
      </c>
      <c r="B27" s="673">
        <v>60</v>
      </c>
      <c r="C27" s="652"/>
      <c r="D27" s="658">
        <f>D22-D25</f>
        <v>3276137254.2</v>
      </c>
      <c r="E27" s="674">
        <f>E22-E24</f>
        <v>2393564630</v>
      </c>
      <c r="F27" s="659">
        <f>F22-F24</f>
        <v>8013698621.2</v>
      </c>
      <c r="G27" s="674">
        <f>G22-G24</f>
        <v>6691731515</v>
      </c>
      <c r="H27" s="905">
        <f>H22-H24</f>
        <v>4737561367</v>
      </c>
      <c r="I27" s="906">
        <f t="shared" si="0"/>
        <v>8013698621.2</v>
      </c>
    </row>
    <row r="28" spans="1:7" ht="1.5" customHeight="1" thickBot="1">
      <c r="A28" s="235"/>
      <c r="B28" s="235"/>
      <c r="C28" s="236"/>
      <c r="D28" s="237"/>
      <c r="E28" s="237"/>
      <c r="F28" s="238"/>
      <c r="G28" s="238"/>
    </row>
    <row r="29" spans="1:7" ht="9.75" customHeight="1" thickTop="1">
      <c r="A29" s="239"/>
      <c r="B29" s="239"/>
      <c r="C29" s="240"/>
      <c r="D29" s="241"/>
      <c r="E29" s="242"/>
      <c r="F29" s="158"/>
      <c r="G29" s="158"/>
    </row>
    <row r="30" spans="1:7" ht="21.75" customHeight="1">
      <c r="A30" s="243"/>
      <c r="B30" s="243"/>
      <c r="C30" s="244"/>
      <c r="D30" s="4"/>
      <c r="E30" s="933" t="s">
        <v>602</v>
      </c>
      <c r="F30" s="933"/>
      <c r="G30" s="933"/>
    </row>
    <row r="31" spans="1:7" ht="21.75" customHeight="1">
      <c r="A31" s="161" t="s">
        <v>341</v>
      </c>
      <c r="B31" s="245"/>
      <c r="C31" s="246"/>
      <c r="D31" s="4"/>
      <c r="E31" s="932" t="s">
        <v>392</v>
      </c>
      <c r="F31" s="932"/>
      <c r="G31" s="932"/>
    </row>
    <row r="32" ht="18" customHeight="1">
      <c r="A32" s="247"/>
    </row>
    <row r="33" ht="21.75" customHeight="1">
      <c r="A33" s="249"/>
    </row>
  </sheetData>
  <mergeCells count="7">
    <mergeCell ref="F6:G6"/>
    <mergeCell ref="E30:G30"/>
    <mergeCell ref="E31:G31"/>
    <mergeCell ref="A6:A7"/>
    <mergeCell ref="B6:B7"/>
    <mergeCell ref="C6:C7"/>
    <mergeCell ref="D6:E6"/>
  </mergeCells>
  <printOptions/>
  <pageMargins left="0.5" right="0" top="0.5" bottom="0.5" header="0.25" footer="0.25"/>
  <pageSetup horizontalDpi="600" verticalDpi="600" orientation="landscape" paperSize="9" r:id="rId1"/>
  <headerFooter alignWithMargins="0">
    <oddFooter xml:space="preserve">&amp;L&amp;"VNI-Times,Italic"Caùc thuyeát minh töø trang 8 ñeán trang 15 laø phaàn khoâng theå taùch rôøi cuûa baùo caùo naøy&amp;R&amp;"VNI-Times,Italic"Trang&amp;P+3 &amp;"VNI-Times,Normal" </oddFooter>
  </headerFooter>
</worksheet>
</file>

<file path=xl/worksheets/sheet6.xml><?xml version="1.0" encoding="utf-8"?>
<worksheet xmlns="http://schemas.openxmlformats.org/spreadsheetml/2006/main" xmlns:r="http://schemas.openxmlformats.org/officeDocument/2006/relationships">
  <dimension ref="A1:J51"/>
  <sheetViews>
    <sheetView workbookViewId="0" topLeftCell="A28">
      <selection activeCell="A45" sqref="A45"/>
    </sheetView>
  </sheetViews>
  <sheetFormatPr defaultColWidth="8.796875" defaultRowHeight="14.25"/>
  <cols>
    <col min="1" max="1" width="43.8984375" style="234" customWidth="1"/>
    <col min="2" max="2" width="1.59765625" style="590" customWidth="1"/>
    <col min="3" max="3" width="5" style="59" customWidth="1"/>
    <col min="4" max="4" width="0.8984375" style="590" customWidth="1"/>
    <col min="5" max="5" width="7.59765625" style="234" customWidth="1"/>
    <col min="6" max="6" width="0.8984375" style="234" customWidth="1"/>
    <col min="7" max="7" width="15.5" style="234" customWidth="1"/>
    <col min="8" max="8" width="1.1015625" style="234" customWidth="1"/>
    <col min="9" max="9" width="14.5" style="234" customWidth="1"/>
    <col min="10" max="10" width="15.5" style="234" customWidth="1"/>
    <col min="11" max="11" width="18.59765625" style="234" customWidth="1"/>
    <col min="12" max="16384" width="9" style="234" customWidth="1"/>
  </cols>
  <sheetData>
    <row r="1" spans="1:9" ht="20.25" customHeight="1">
      <c r="A1" s="202" t="str">
        <f>CDKT!A1</f>
        <v>COÂNG TY COÅ PHAÀN THUÛY SAÛN SOÁ 4</v>
      </c>
      <c r="B1" s="554"/>
      <c r="C1" s="60"/>
      <c r="D1" s="555"/>
      <c r="E1" s="556"/>
      <c r="F1" s="556"/>
      <c r="G1" s="557"/>
      <c r="H1" s="557"/>
      <c r="I1" s="558" t="s">
        <v>444</v>
      </c>
    </row>
    <row r="2" spans="1:9" ht="24.75" customHeight="1">
      <c r="A2" s="559" t="s">
        <v>445</v>
      </c>
      <c r="B2" s="560"/>
      <c r="C2" s="561"/>
      <c r="D2" s="562"/>
      <c r="E2" s="563"/>
      <c r="F2" s="563"/>
      <c r="G2" s="564"/>
      <c r="H2" s="564"/>
      <c r="I2" s="564"/>
    </row>
    <row r="3" spans="1:9" ht="19.5" customHeight="1">
      <c r="A3" s="202" t="s">
        <v>446</v>
      </c>
      <c r="B3" s="554"/>
      <c r="C3" s="60"/>
      <c r="D3" s="555"/>
      <c r="E3" s="556"/>
      <c r="F3" s="556"/>
      <c r="G3" s="557"/>
      <c r="H3" s="557"/>
      <c r="I3" s="558"/>
    </row>
    <row r="4" spans="1:9" ht="20.25" customHeight="1">
      <c r="A4" s="202" t="s">
        <v>595</v>
      </c>
      <c r="B4" s="554"/>
      <c r="C4" s="60"/>
      <c r="D4" s="555"/>
      <c r="E4" s="556"/>
      <c r="F4" s="556"/>
      <c r="G4" s="557"/>
      <c r="H4" s="557"/>
      <c r="I4" s="558" t="str">
        <f>'[1]CDKT'!G3</f>
        <v>Ñôn vò tính: VNÑ </v>
      </c>
    </row>
    <row r="5" spans="1:9" ht="3" customHeight="1">
      <c r="A5" s="227"/>
      <c r="B5" s="227"/>
      <c r="C5" s="565"/>
      <c r="D5" s="566"/>
      <c r="E5" s="567"/>
      <c r="F5" s="567"/>
      <c r="G5" s="568"/>
      <c r="H5" s="568"/>
      <c r="I5" s="569"/>
    </row>
    <row r="6" spans="1:9" ht="3" customHeight="1">
      <c r="A6" s="227"/>
      <c r="B6" s="227"/>
      <c r="C6" s="565"/>
      <c r="D6" s="566"/>
      <c r="E6" s="567"/>
      <c r="F6" s="567"/>
      <c r="G6" s="612"/>
      <c r="H6" s="568"/>
      <c r="I6" s="569"/>
    </row>
    <row r="7" spans="1:9" ht="29.25" customHeight="1">
      <c r="A7" s="570"/>
      <c r="B7" s="570"/>
      <c r="C7" s="571"/>
      <c r="D7" s="570"/>
      <c r="E7" s="570"/>
      <c r="F7" s="570"/>
      <c r="G7" s="572"/>
      <c r="H7" s="570"/>
      <c r="I7" s="570"/>
    </row>
    <row r="8" spans="1:9" ht="30.75" customHeight="1">
      <c r="A8" s="573" t="s">
        <v>136</v>
      </c>
      <c r="B8" s="574"/>
      <c r="C8" s="575" t="s">
        <v>161</v>
      </c>
      <c r="D8" s="574"/>
      <c r="E8" s="573" t="s">
        <v>172</v>
      </c>
      <c r="F8" s="573"/>
      <c r="G8" s="640" t="s">
        <v>596</v>
      </c>
      <c r="H8" s="574"/>
      <c r="I8" s="640" t="s">
        <v>75</v>
      </c>
    </row>
    <row r="9" spans="1:9" ht="21.75" customHeight="1">
      <c r="A9" s="576" t="s">
        <v>447</v>
      </c>
      <c r="B9" s="577"/>
      <c r="C9" s="578"/>
      <c r="D9" s="577"/>
      <c r="E9" s="579"/>
      <c r="F9" s="579"/>
      <c r="G9" s="580"/>
      <c r="H9" s="579"/>
      <c r="I9" s="580"/>
    </row>
    <row r="10" spans="1:9" s="586" customFormat="1" ht="21.75" customHeight="1">
      <c r="A10" s="581" t="s">
        <v>448</v>
      </c>
      <c r="B10" s="554"/>
      <c r="C10" s="582" t="s">
        <v>134</v>
      </c>
      <c r="D10" s="583"/>
      <c r="E10" s="581"/>
      <c r="F10" s="583"/>
      <c r="G10" s="584">
        <f>KQKDM!F22</f>
        <v>8235306684</v>
      </c>
      <c r="H10" s="583"/>
      <c r="I10" s="585">
        <f>KQKDM!G22</f>
        <v>7749888786</v>
      </c>
    </row>
    <row r="11" spans="1:9" s="586" customFormat="1" ht="21.75" customHeight="1">
      <c r="A11" s="581" t="s">
        <v>449</v>
      </c>
      <c r="B11" s="554"/>
      <c r="C11" s="582"/>
      <c r="D11" s="63"/>
      <c r="E11" s="581"/>
      <c r="G11" s="584">
        <f>SUM(G12:G16)</f>
        <v>2922364269</v>
      </c>
      <c r="H11" s="63"/>
      <c r="I11" s="584">
        <f>SUM(I12:I16)</f>
        <v>1403010635</v>
      </c>
    </row>
    <row r="12" spans="1:9" s="590" customFormat="1" ht="19.5" customHeight="1">
      <c r="A12" s="587" t="s">
        <v>450</v>
      </c>
      <c r="B12" s="588"/>
      <c r="C12" s="589" t="s">
        <v>451</v>
      </c>
      <c r="D12" s="583"/>
      <c r="E12" s="553"/>
      <c r="F12" s="583"/>
      <c r="G12" s="586">
        <f>959785630+1189491971</f>
        <v>2149277601</v>
      </c>
      <c r="H12" s="586"/>
      <c r="I12" s="586">
        <v>925088961</v>
      </c>
    </row>
    <row r="13" spans="1:9" s="590" customFormat="1" ht="19.5" customHeight="1">
      <c r="A13" s="587" t="s">
        <v>452</v>
      </c>
      <c r="B13" s="588"/>
      <c r="C13" s="589" t="s">
        <v>135</v>
      </c>
      <c r="D13" s="583"/>
      <c r="E13" s="586"/>
      <c r="F13" s="553"/>
      <c r="G13" s="586"/>
      <c r="H13" s="586"/>
      <c r="I13" s="586">
        <v>500000000</v>
      </c>
    </row>
    <row r="14" spans="1:9" s="590" customFormat="1" ht="19.5" customHeight="1">
      <c r="A14" s="587" t="s">
        <v>453</v>
      </c>
      <c r="B14" s="588"/>
      <c r="C14" s="589" t="s">
        <v>454</v>
      </c>
      <c r="D14" s="583"/>
      <c r="E14" s="586"/>
      <c r="F14" s="553"/>
      <c r="G14" s="591"/>
      <c r="H14" s="586"/>
      <c r="I14" s="586">
        <v>-25496067</v>
      </c>
    </row>
    <row r="15" spans="1:9" s="590" customFormat="1" ht="19.5" customHeight="1">
      <c r="A15" s="587" t="s">
        <v>455</v>
      </c>
      <c r="B15" s="588"/>
      <c r="C15" s="589" t="s">
        <v>456</v>
      </c>
      <c r="D15" s="583"/>
      <c r="E15" s="586"/>
      <c r="F15" s="553"/>
      <c r="G15" s="586">
        <f>71749657+46017104</f>
        <v>117766761</v>
      </c>
      <c r="H15" s="586"/>
      <c r="I15" s="586">
        <v>-234130643</v>
      </c>
    </row>
    <row r="16" spans="1:9" s="590" customFormat="1" ht="19.5" customHeight="1">
      <c r="A16" s="587" t="s">
        <v>457</v>
      </c>
      <c r="B16" s="588"/>
      <c r="C16" s="589" t="s">
        <v>458</v>
      </c>
      <c r="D16" s="583"/>
      <c r="E16" s="586"/>
      <c r="F16" s="553"/>
      <c r="G16" s="586">
        <f>518403585+136916322</f>
        <v>655319907</v>
      </c>
      <c r="H16" s="586"/>
      <c r="I16" s="586">
        <v>237548384</v>
      </c>
    </row>
    <row r="17" spans="1:10" s="590" customFormat="1" ht="36" customHeight="1">
      <c r="A17" s="592" t="s">
        <v>459</v>
      </c>
      <c r="B17" s="593"/>
      <c r="C17" s="594" t="s">
        <v>460</v>
      </c>
      <c r="D17" s="595"/>
      <c r="E17" s="596"/>
      <c r="F17" s="597"/>
      <c r="G17" s="598">
        <f>G10+G11</f>
        <v>11157670953</v>
      </c>
      <c r="H17" s="599">
        <f>H10+H11</f>
        <v>0</v>
      </c>
      <c r="I17" s="598">
        <f>I10+I11</f>
        <v>9152899421</v>
      </c>
      <c r="J17" s="597"/>
    </row>
    <row r="18" spans="1:9" s="590" customFormat="1" ht="19.5" customHeight="1">
      <c r="A18" s="587" t="s">
        <v>461</v>
      </c>
      <c r="B18" s="588"/>
      <c r="C18" s="589" t="s">
        <v>462</v>
      </c>
      <c r="D18" s="583"/>
      <c r="E18" s="586"/>
      <c r="F18" s="586"/>
      <c r="G18" s="586">
        <v>11046920565</v>
      </c>
      <c r="H18" s="586"/>
      <c r="I18" s="586">
        <v>22993227417</v>
      </c>
    </row>
    <row r="19" spans="1:9" s="590" customFormat="1" ht="19.5" customHeight="1">
      <c r="A19" s="587" t="s">
        <v>463</v>
      </c>
      <c r="B19" s="588"/>
      <c r="C19" s="174" t="s">
        <v>215</v>
      </c>
      <c r="D19" s="583"/>
      <c r="E19" s="586"/>
      <c r="F19" s="586"/>
      <c r="G19" s="586">
        <v>-5484149032</v>
      </c>
      <c r="H19" s="586"/>
      <c r="I19" s="586">
        <v>-12836948763</v>
      </c>
    </row>
    <row r="20" spans="1:9" s="590" customFormat="1" ht="19.5" customHeight="1">
      <c r="A20" s="587" t="s">
        <v>464</v>
      </c>
      <c r="B20" s="588"/>
      <c r="C20" s="174">
        <v>11</v>
      </c>
      <c r="D20" s="583"/>
      <c r="E20" s="586"/>
      <c r="F20" s="586"/>
      <c r="G20" s="586">
        <v>-15474848190</v>
      </c>
      <c r="H20" s="586"/>
      <c r="I20" s="586">
        <v>-11106254085</v>
      </c>
    </row>
    <row r="21" spans="1:9" s="590" customFormat="1" ht="19.5" customHeight="1">
      <c r="A21" s="587" t="s">
        <v>465</v>
      </c>
      <c r="B21" s="588"/>
      <c r="C21" s="589">
        <v>12</v>
      </c>
      <c r="D21" s="600"/>
      <c r="E21" s="586"/>
      <c r="F21" s="586"/>
      <c r="G21" s="586">
        <v>-42274892620</v>
      </c>
      <c r="H21" s="586"/>
      <c r="I21" s="586">
        <v>-2175659623</v>
      </c>
    </row>
    <row r="22" spans="1:9" s="590" customFormat="1" ht="19.5" customHeight="1">
      <c r="A22" s="587" t="s">
        <v>466</v>
      </c>
      <c r="B22" s="588"/>
      <c r="C22" s="589">
        <v>13</v>
      </c>
      <c r="D22" s="600"/>
      <c r="E22" s="586"/>
      <c r="F22" s="586"/>
      <c r="G22" s="586">
        <f>-G16</f>
        <v>-655319907</v>
      </c>
      <c r="H22" s="586"/>
      <c r="I22" s="586">
        <v>-237548384</v>
      </c>
    </row>
    <row r="23" spans="1:9" s="590" customFormat="1" ht="19.5" customHeight="1">
      <c r="A23" s="587" t="s">
        <v>467</v>
      </c>
      <c r="B23" s="588"/>
      <c r="C23" s="589">
        <v>14</v>
      </c>
      <c r="D23" s="600"/>
      <c r="E23" s="586"/>
      <c r="F23" s="586"/>
      <c r="G23" s="586">
        <v>-137000000</v>
      </c>
      <c r="H23" s="586"/>
      <c r="I23" s="586">
        <v>-680199751</v>
      </c>
    </row>
    <row r="24" spans="1:9" s="590" customFormat="1" ht="19.5" customHeight="1">
      <c r="A24" s="587" t="s">
        <v>468</v>
      </c>
      <c r="B24" s="588"/>
      <c r="C24" s="589">
        <v>15</v>
      </c>
      <c r="D24" s="600"/>
      <c r="E24" s="586"/>
      <c r="F24" s="586"/>
      <c r="G24" s="586">
        <v>0</v>
      </c>
      <c r="H24" s="586"/>
      <c r="I24" s="586">
        <f>4561845207-500000000-293259383</f>
        <v>3768585824</v>
      </c>
    </row>
    <row r="25" spans="1:9" s="590" customFormat="1" ht="19.5" customHeight="1">
      <c r="A25" s="587" t="s">
        <v>469</v>
      </c>
      <c r="B25" s="588"/>
      <c r="C25" s="601">
        <v>16</v>
      </c>
      <c r="D25" s="600"/>
      <c r="E25" s="586"/>
      <c r="F25" s="586"/>
      <c r="G25" s="586">
        <f>-62540000-43990000</f>
        <v>-106530000</v>
      </c>
      <c r="H25" s="586"/>
      <c r="I25" s="586">
        <v>-19661963299</v>
      </c>
    </row>
    <row r="26" spans="1:10" s="590" customFormat="1" ht="21.75" customHeight="1">
      <c r="A26" s="602" t="s">
        <v>470</v>
      </c>
      <c r="B26" s="554"/>
      <c r="C26" s="603">
        <v>20</v>
      </c>
      <c r="D26" s="604"/>
      <c r="E26" s="605"/>
      <c r="F26" s="586"/>
      <c r="G26" s="605">
        <f>SUM(G17:G25)</f>
        <v>-41928148231</v>
      </c>
      <c r="H26" s="63">
        <f>SUM(H17:H25)</f>
        <v>0</v>
      </c>
      <c r="I26" s="605">
        <f>SUM(I17:I25)</f>
        <v>-10783861243</v>
      </c>
      <c r="J26" s="606"/>
    </row>
    <row r="27" spans="1:9" s="590" customFormat="1" ht="21.75" customHeight="1">
      <c r="A27" s="607" t="s">
        <v>471</v>
      </c>
      <c r="B27" s="608"/>
      <c r="C27" s="68"/>
      <c r="D27" s="608"/>
      <c r="E27" s="568"/>
      <c r="F27" s="609"/>
      <c r="G27" s="66"/>
      <c r="H27" s="609"/>
      <c r="I27" s="66"/>
    </row>
    <row r="28" spans="1:9" s="590" customFormat="1" ht="19.5" customHeight="1">
      <c r="A28" s="610" t="s">
        <v>472</v>
      </c>
      <c r="B28" s="610"/>
      <c r="C28" s="174">
        <v>21</v>
      </c>
      <c r="D28" s="600"/>
      <c r="E28" s="553"/>
      <c r="F28" s="611"/>
      <c r="G28" s="586">
        <f>2260274489-12877315835-725816193</f>
        <v>-11342857539</v>
      </c>
      <c r="H28" s="586"/>
      <c r="I28" s="586">
        <v>-23388885559</v>
      </c>
    </row>
    <row r="29" spans="1:10" s="606" customFormat="1" ht="19.5" customHeight="1">
      <c r="A29" s="610" t="s">
        <v>473</v>
      </c>
      <c r="B29" s="610"/>
      <c r="C29" s="174">
        <v>22</v>
      </c>
      <c r="D29" s="600"/>
      <c r="E29" s="612"/>
      <c r="F29" s="586"/>
      <c r="G29" s="586">
        <v>24727273</v>
      </c>
      <c r="H29" s="586"/>
      <c r="I29" s="586">
        <v>234130643</v>
      </c>
      <c r="J29" s="590"/>
    </row>
    <row r="30" spans="1:10" s="606" customFormat="1" ht="19.5" customHeight="1">
      <c r="A30" s="610" t="s">
        <v>559</v>
      </c>
      <c r="B30" s="610"/>
      <c r="C30" s="174"/>
      <c r="D30" s="600"/>
      <c r="E30" s="612"/>
      <c r="F30" s="586"/>
      <c r="G30" s="586"/>
      <c r="H30" s="586"/>
      <c r="I30" s="586">
        <v>13056951</v>
      </c>
      <c r="J30" s="590"/>
    </row>
    <row r="31" spans="1:9" s="590" customFormat="1" ht="18.75" customHeight="1">
      <c r="A31" s="610" t="s">
        <v>474</v>
      </c>
      <c r="B31" s="610"/>
      <c r="C31" s="613">
        <v>27</v>
      </c>
      <c r="D31" s="600"/>
      <c r="E31" s="553"/>
      <c r="F31" s="612"/>
      <c r="G31" s="586">
        <f>8187517-46017104</f>
        <v>-37829587</v>
      </c>
      <c r="H31" s="586"/>
      <c r="I31" s="586">
        <v>0</v>
      </c>
    </row>
    <row r="32" spans="1:9" s="590" customFormat="1" ht="21.75" customHeight="1">
      <c r="A32" s="614" t="s">
        <v>475</v>
      </c>
      <c r="B32" s="554"/>
      <c r="C32" s="615">
        <v>30</v>
      </c>
      <c r="D32" s="600"/>
      <c r="E32" s="616"/>
      <c r="F32" s="586"/>
      <c r="G32" s="617">
        <f>SUM(G28:G31)</f>
        <v>-11355959853</v>
      </c>
      <c r="H32" s="63">
        <f>SUM(H28:H31)</f>
        <v>0</v>
      </c>
      <c r="I32" s="617">
        <f>SUM(I28:I31)</f>
        <v>-23141697965</v>
      </c>
    </row>
    <row r="33" spans="1:10" s="597" customFormat="1" ht="21.75" customHeight="1">
      <c r="A33" s="607" t="s">
        <v>476</v>
      </c>
      <c r="B33" s="554"/>
      <c r="C33" s="615"/>
      <c r="D33" s="618"/>
      <c r="E33" s="619"/>
      <c r="F33" s="586"/>
      <c r="G33" s="620"/>
      <c r="H33" s="586"/>
      <c r="I33" s="620"/>
      <c r="J33" s="590"/>
    </row>
    <row r="34" spans="1:9" s="586" customFormat="1" ht="19.5" customHeight="1">
      <c r="A34" s="610" t="s">
        <v>477</v>
      </c>
      <c r="B34" s="554"/>
      <c r="C34" s="166"/>
      <c r="D34" s="600"/>
      <c r="E34" s="612"/>
      <c r="G34" s="586">
        <v>54624509382</v>
      </c>
      <c r="I34" s="586">
        <v>35206148890</v>
      </c>
    </row>
    <row r="35" spans="1:9" s="590" customFormat="1" ht="19.5" customHeight="1">
      <c r="A35" s="610" t="s">
        <v>478</v>
      </c>
      <c r="B35" s="610"/>
      <c r="C35" s="174">
        <v>33</v>
      </c>
      <c r="D35" s="600"/>
      <c r="E35" s="612"/>
      <c r="F35" s="586"/>
      <c r="G35" s="586">
        <f>76842032100+28796082734</f>
        <v>105638114834</v>
      </c>
      <c r="H35" s="586"/>
      <c r="I35" s="586">
        <v>28903128000</v>
      </c>
    </row>
    <row r="36" spans="1:10" ht="19.5" customHeight="1">
      <c r="A36" s="610" t="s">
        <v>479</v>
      </c>
      <c r="B36" s="610"/>
      <c r="C36" s="621">
        <v>34</v>
      </c>
      <c r="D36" s="600"/>
      <c r="E36" s="586"/>
      <c r="F36" s="586"/>
      <c r="G36" s="586">
        <f>-77689155900-25061054728</f>
        <v>-102750210628</v>
      </c>
      <c r="H36" s="586"/>
      <c r="I36" s="586">
        <v>-28578391100</v>
      </c>
      <c r="J36" s="590"/>
    </row>
    <row r="37" spans="1:10" ht="19.5" customHeight="1">
      <c r="A37" s="610" t="s">
        <v>565</v>
      </c>
      <c r="B37" s="610"/>
      <c r="C37" s="174">
        <v>36</v>
      </c>
      <c r="D37" s="600"/>
      <c r="E37" s="553"/>
      <c r="F37" s="611"/>
      <c r="G37" s="234">
        <v>-2289521964</v>
      </c>
      <c r="H37" s="586"/>
      <c r="I37" s="586">
        <v>-1125000000</v>
      </c>
      <c r="J37" s="590"/>
    </row>
    <row r="38" spans="1:10" ht="19.5" customHeight="1">
      <c r="A38" s="610"/>
      <c r="B38" s="610"/>
      <c r="C38" s="174"/>
      <c r="D38" s="600"/>
      <c r="E38" s="553"/>
      <c r="F38" s="611"/>
      <c r="H38" s="586"/>
      <c r="I38" s="586"/>
      <c r="J38" s="590"/>
    </row>
    <row r="39" spans="1:10" ht="19.5" customHeight="1">
      <c r="A39" s="610"/>
      <c r="B39" s="610"/>
      <c r="C39" s="174"/>
      <c r="D39" s="600"/>
      <c r="E39" s="553"/>
      <c r="F39" s="611"/>
      <c r="H39" s="586"/>
      <c r="I39" s="586"/>
      <c r="J39" s="590"/>
    </row>
    <row r="40" spans="1:10" ht="19.5" customHeight="1">
      <c r="A40" s="610"/>
      <c r="B40" s="610"/>
      <c r="C40" s="174"/>
      <c r="D40" s="600"/>
      <c r="E40" s="553"/>
      <c r="F40" s="611"/>
      <c r="H40" s="586"/>
      <c r="I40" s="586"/>
      <c r="J40" s="590"/>
    </row>
    <row r="41" spans="1:10" ht="31.5" customHeight="1">
      <c r="A41" s="614" t="s">
        <v>566</v>
      </c>
      <c r="B41" s="554"/>
      <c r="C41" s="622" t="s">
        <v>567</v>
      </c>
      <c r="D41" s="600"/>
      <c r="E41" s="623"/>
      <c r="F41" s="63">
        <v>-4480766644</v>
      </c>
      <c r="G41" s="617">
        <f>SUM(G34:G37)</f>
        <v>55222891624</v>
      </c>
      <c r="H41" s="63">
        <f>SUM(H34:H37)</f>
        <v>0</v>
      </c>
      <c r="I41" s="617">
        <f>SUM(I34:I37)</f>
        <v>34405885790</v>
      </c>
      <c r="J41" s="590"/>
    </row>
    <row r="42" spans="1:10" ht="31.5" customHeight="1">
      <c r="A42" s="196" t="s">
        <v>568</v>
      </c>
      <c r="B42" s="554"/>
      <c r="C42" s="68">
        <v>50</v>
      </c>
      <c r="D42" s="600"/>
      <c r="E42" s="607"/>
      <c r="F42" s="624"/>
      <c r="G42" s="625">
        <f>G41+G32+G26</f>
        <v>1938783540</v>
      </c>
      <c r="H42" s="63"/>
      <c r="I42" s="625">
        <f>I41+I32+I26</f>
        <v>480326582</v>
      </c>
      <c r="J42" s="590"/>
    </row>
    <row r="43" spans="1:10" ht="30" customHeight="1">
      <c r="A43" s="614" t="s">
        <v>569</v>
      </c>
      <c r="B43" s="554"/>
      <c r="C43" s="615">
        <v>60</v>
      </c>
      <c r="D43" s="600"/>
      <c r="E43" s="617"/>
      <c r="F43" s="586"/>
      <c r="G43" s="617">
        <v>2088567998</v>
      </c>
      <c r="H43" s="63"/>
      <c r="I43" s="617">
        <v>375572546</v>
      </c>
      <c r="J43" s="590"/>
    </row>
    <row r="44" spans="1:10" ht="30" customHeight="1">
      <c r="A44" s="626" t="s">
        <v>570</v>
      </c>
      <c r="B44" s="554"/>
      <c r="C44" s="67">
        <v>61</v>
      </c>
      <c r="D44" s="553"/>
      <c r="E44" s="66"/>
      <c r="F44" s="586"/>
      <c r="G44" s="66"/>
      <c r="H44" s="63"/>
      <c r="I44" s="627">
        <v>0</v>
      </c>
      <c r="J44" s="590"/>
    </row>
    <row r="45" spans="1:10" ht="37.5" customHeight="1" thickBot="1">
      <c r="A45" s="628" t="s">
        <v>571</v>
      </c>
      <c r="B45" s="628"/>
      <c r="C45" s="629">
        <v>70</v>
      </c>
      <c r="D45" s="630"/>
      <c r="E45" s="631"/>
      <c r="F45" s="632"/>
      <c r="G45" s="631">
        <f>G42+G43+G44</f>
        <v>4027351538</v>
      </c>
      <c r="H45" s="631"/>
      <c r="I45" s="633">
        <f>I42+I43+I44</f>
        <v>855899128</v>
      </c>
      <c r="J45" s="590"/>
    </row>
    <row r="46" spans="1:10" ht="24.75" customHeight="1" thickTop="1">
      <c r="A46" s="590"/>
      <c r="C46" s="174"/>
      <c r="E46" s="590"/>
      <c r="F46" s="590"/>
      <c r="G46" s="590"/>
      <c r="H46" s="590"/>
      <c r="I46" s="590"/>
      <c r="J46" s="55"/>
    </row>
    <row r="47" spans="1:10" ht="17.25" customHeight="1">
      <c r="A47" s="590"/>
      <c r="C47" s="174"/>
      <c r="E47" s="590"/>
      <c r="F47" s="590"/>
      <c r="G47" s="590"/>
      <c r="H47" s="590"/>
      <c r="I47" s="590"/>
      <c r="J47" s="55"/>
    </row>
    <row r="48" spans="1:10" ht="26.25" customHeight="1">
      <c r="A48" s="590"/>
      <c r="C48" s="174"/>
      <c r="E48" s="590"/>
      <c r="F48" s="590"/>
      <c r="G48" s="586" t="s">
        <v>603</v>
      </c>
      <c r="H48" s="586"/>
      <c r="I48" s="586"/>
      <c r="J48" s="55"/>
    </row>
    <row r="49" spans="1:10" ht="26.25" customHeight="1">
      <c r="A49" s="634" t="s">
        <v>572</v>
      </c>
      <c r="B49" s="634"/>
      <c r="C49" s="174"/>
      <c r="D49" s="635"/>
      <c r="E49" s="941" t="s">
        <v>392</v>
      </c>
      <c r="F49" s="941"/>
      <c r="G49" s="941"/>
      <c r="H49" s="941"/>
      <c r="I49" s="941"/>
      <c r="J49" s="590"/>
    </row>
    <row r="50" spans="1:10" ht="15.75">
      <c r="A50" s="590"/>
      <c r="C50" s="174"/>
      <c r="E50" s="590"/>
      <c r="F50" s="590"/>
      <c r="G50" s="940"/>
      <c r="H50" s="940"/>
      <c r="I50" s="940"/>
      <c r="J50" s="590"/>
    </row>
    <row r="51" spans="1:10" ht="18.75">
      <c r="A51" s="636"/>
      <c r="B51" s="636"/>
      <c r="C51" s="637"/>
      <c r="D51" s="638"/>
      <c r="E51" s="639"/>
      <c r="F51" s="639"/>
      <c r="G51" s="942"/>
      <c r="H51" s="942"/>
      <c r="I51" s="942"/>
      <c r="J51" s="41"/>
    </row>
  </sheetData>
  <mergeCells count="3">
    <mergeCell ref="G50:I50"/>
    <mergeCell ref="G51:I51"/>
    <mergeCell ref="E49:I49"/>
  </mergeCells>
  <printOptions/>
  <pageMargins left="0.5" right="0" top="0.5" bottom="0.5" header="0.25" footer="0.25"/>
  <pageSetup horizontalDpi="600" verticalDpi="600" orientation="portrait" paperSize="9" r:id="rId3"/>
  <headerFooter alignWithMargins="0">
    <oddFooter xml:space="preserve">&amp;L&amp;"VNI-Times,Italic"Caùc thuyeát minh töø trang 8 ñeán trang 15 laø phaàn khoâng theå taùch rôøi cuûa baùp caùo naøy&amp;R&amp;"VNI-Times,Italic"Trang &amp;P+5 </oddFooter>
  </headerFooter>
  <legacyDrawing r:id="rId2"/>
</worksheet>
</file>

<file path=xl/worksheets/sheet7.xml><?xml version="1.0" encoding="utf-8"?>
<worksheet xmlns="http://schemas.openxmlformats.org/spreadsheetml/2006/main" xmlns:r="http://schemas.openxmlformats.org/officeDocument/2006/relationships">
  <dimension ref="A1:IV443"/>
  <sheetViews>
    <sheetView tabSelected="1" workbookViewId="0" topLeftCell="A258">
      <selection activeCell="J286" sqref="J286:J288"/>
    </sheetView>
  </sheetViews>
  <sheetFormatPr defaultColWidth="8.796875" defaultRowHeight="18" customHeight="1"/>
  <cols>
    <col min="1" max="1" width="2.8984375" style="7" customWidth="1"/>
    <col min="2" max="2" width="1.390625" style="199" customWidth="1"/>
    <col min="3" max="3" width="0.59375" style="199" customWidth="1"/>
    <col min="4" max="4" width="12.59765625" style="199" customWidth="1"/>
    <col min="5" max="5" width="2.69921875" style="199" customWidth="1"/>
    <col min="6" max="6" width="14.69921875" style="199" customWidth="1"/>
    <col min="7" max="7" width="14.5" style="199" customWidth="1"/>
    <col min="8" max="8" width="13.09765625" style="199" customWidth="1"/>
    <col min="9" max="9" width="14.09765625" style="261" customWidth="1"/>
    <col min="10" max="10" width="15.09765625" style="250" customWidth="1"/>
    <col min="11" max="11" width="16.5" style="225" customWidth="1"/>
    <col min="12" max="12" width="15" style="199" customWidth="1"/>
    <col min="13" max="13" width="14.59765625" style="199" customWidth="1"/>
    <col min="14" max="14" width="17.8984375" style="199" customWidth="1"/>
    <col min="15" max="15" width="14.19921875" style="199" customWidth="1"/>
    <col min="16" max="16384" width="9" style="199" customWidth="1"/>
  </cols>
  <sheetData>
    <row r="1" spans="1:14" ht="19.5" customHeight="1">
      <c r="A1" s="63" t="str">
        <f>'[5]CDKT'!A1</f>
        <v>COÂNG TY COÅ PHAÀN THUÛY SAÛN SOÁ 4</v>
      </c>
      <c r="G1" s="7"/>
      <c r="H1" s="7"/>
      <c r="I1" s="250"/>
      <c r="J1" s="251" t="s">
        <v>126</v>
      </c>
      <c r="K1" s="531"/>
      <c r="L1" s="225"/>
      <c r="M1" s="689"/>
      <c r="N1" s="690"/>
    </row>
    <row r="2" spans="1:14" s="692" customFormat="1" ht="24" customHeight="1">
      <c r="A2" s="691" t="s">
        <v>164</v>
      </c>
      <c r="G2" s="682"/>
      <c r="H2" s="682"/>
      <c r="I2" s="693"/>
      <c r="J2" s="694"/>
      <c r="K2" s="695"/>
      <c r="L2" s="696"/>
      <c r="M2" s="697"/>
      <c r="N2" s="698"/>
    </row>
    <row r="3" spans="1:14" ht="19.5" customHeight="1">
      <c r="A3" s="63" t="s">
        <v>595</v>
      </c>
      <c r="G3" s="7"/>
      <c r="H3" s="7"/>
      <c r="I3" s="250"/>
      <c r="J3" s="251" t="str">
        <f>'[2]KQKD'!I3</f>
        <v>Ñôn vò tính : VNÑ</v>
      </c>
      <c r="K3" s="531"/>
      <c r="L3" s="225"/>
      <c r="M3" s="689"/>
      <c r="N3" s="690"/>
    </row>
    <row r="4" spans="1:14" ht="1.5" customHeight="1">
      <c r="A4" s="254"/>
      <c r="B4" s="254"/>
      <c r="C4" s="254"/>
      <c r="D4" s="254"/>
      <c r="E4" s="254"/>
      <c r="F4" s="255"/>
      <c r="G4" s="255"/>
      <c r="H4" s="255"/>
      <c r="I4" s="255"/>
      <c r="J4" s="254"/>
      <c r="K4" s="531"/>
      <c r="L4" s="225"/>
      <c r="M4" s="689"/>
      <c r="N4" s="690"/>
    </row>
    <row r="5" spans="1:14" ht="17.25" customHeight="1">
      <c r="A5" s="199"/>
      <c r="B5" s="256"/>
      <c r="C5" s="256"/>
      <c r="D5" s="256"/>
      <c r="E5" s="256"/>
      <c r="F5" s="256"/>
      <c r="G5" s="257"/>
      <c r="H5" s="257"/>
      <c r="I5" s="258"/>
      <c r="J5" s="259"/>
      <c r="K5" s="531"/>
      <c r="L5" s="225"/>
      <c r="M5" s="689"/>
      <c r="N5" s="690"/>
    </row>
    <row r="6" spans="1:11" ht="18" customHeight="1">
      <c r="A6" s="260" t="s">
        <v>216</v>
      </c>
      <c r="B6" s="206" t="s">
        <v>166</v>
      </c>
      <c r="K6" s="199"/>
    </row>
    <row r="7" spans="1:11" ht="3.75" customHeight="1">
      <c r="A7" s="260"/>
      <c r="B7" s="206"/>
      <c r="K7" s="199"/>
    </row>
    <row r="8" spans="1:256" ht="21.75" customHeight="1">
      <c r="A8" s="699" t="s">
        <v>165</v>
      </c>
      <c r="B8" s="974" t="s">
        <v>484</v>
      </c>
      <c r="C8" s="974"/>
      <c r="D8" s="974"/>
      <c r="E8" s="974"/>
      <c r="F8" s="974"/>
      <c r="G8" s="974"/>
      <c r="H8" s="974"/>
      <c r="I8" s="974"/>
      <c r="J8" s="974"/>
      <c r="K8" s="199"/>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8"/>
      <c r="IS8" s="198"/>
      <c r="IT8" s="198"/>
      <c r="IU8" s="198"/>
      <c r="IV8" s="198"/>
    </row>
    <row r="9" spans="1:256" ht="45" customHeight="1">
      <c r="A9" s="262"/>
      <c r="B9" s="683"/>
      <c r="C9" s="683"/>
      <c r="D9" s="973" t="s">
        <v>485</v>
      </c>
      <c r="E9" s="974"/>
      <c r="F9" s="974"/>
      <c r="G9" s="974"/>
      <c r="H9" s="974"/>
      <c r="I9" s="974"/>
      <c r="J9" s="974"/>
      <c r="K9" s="199"/>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c r="GT9" s="204"/>
      <c r="GU9" s="204"/>
      <c r="GV9" s="204"/>
      <c r="GW9" s="204"/>
      <c r="GX9" s="204"/>
      <c r="GY9" s="204"/>
      <c r="GZ9" s="204"/>
      <c r="HA9" s="204"/>
      <c r="HB9" s="204"/>
      <c r="HC9" s="204"/>
      <c r="HD9" s="204"/>
      <c r="HE9" s="204"/>
      <c r="HF9" s="204"/>
      <c r="HG9" s="204"/>
      <c r="HH9" s="204"/>
      <c r="HI9" s="204"/>
      <c r="HJ9" s="204"/>
      <c r="HK9" s="204"/>
      <c r="HL9" s="204"/>
      <c r="HM9" s="204"/>
      <c r="HN9" s="204"/>
      <c r="HO9" s="204"/>
      <c r="HP9" s="204"/>
      <c r="HQ9" s="204"/>
      <c r="HR9" s="204"/>
      <c r="HS9" s="204"/>
      <c r="HT9" s="204"/>
      <c r="HU9" s="204"/>
      <c r="HV9" s="204"/>
      <c r="HW9" s="204"/>
      <c r="HX9" s="204"/>
      <c r="HY9" s="204"/>
      <c r="HZ9" s="204"/>
      <c r="IA9" s="204"/>
      <c r="IB9" s="204"/>
      <c r="IC9" s="204"/>
      <c r="ID9" s="204"/>
      <c r="IE9" s="204"/>
      <c r="IF9" s="204"/>
      <c r="IG9" s="204"/>
      <c r="IH9" s="204"/>
      <c r="II9" s="204"/>
      <c r="IJ9" s="204"/>
      <c r="IK9" s="204"/>
      <c r="IL9" s="204"/>
      <c r="IM9" s="204"/>
      <c r="IN9" s="204"/>
      <c r="IO9" s="204"/>
      <c r="IP9" s="204"/>
      <c r="IQ9" s="204"/>
      <c r="IR9" s="204"/>
      <c r="IS9" s="204"/>
      <c r="IT9" s="204"/>
      <c r="IU9" s="204"/>
      <c r="IV9" s="204"/>
    </row>
    <row r="10" spans="1:12" s="198" customFormat="1" ht="36" customHeight="1">
      <c r="A10" s="700"/>
      <c r="B10" s="200"/>
      <c r="C10" s="200"/>
      <c r="D10" s="973" t="s">
        <v>486</v>
      </c>
      <c r="E10" s="974"/>
      <c r="F10" s="974"/>
      <c r="G10" s="974"/>
      <c r="H10" s="974"/>
      <c r="I10" s="974"/>
      <c r="J10" s="974"/>
      <c r="K10" s="701"/>
      <c r="L10" s="701"/>
    </row>
    <row r="11" spans="1:256" ht="21.75" customHeight="1">
      <c r="A11" s="206" t="s">
        <v>585</v>
      </c>
      <c r="B11" s="201" t="s">
        <v>368</v>
      </c>
      <c r="C11" s="201"/>
      <c r="D11" s="201"/>
      <c r="E11" s="201"/>
      <c r="F11" s="201"/>
      <c r="G11" s="201"/>
      <c r="H11" s="201"/>
      <c r="I11" s="201"/>
      <c r="J11" s="201"/>
      <c r="K11" s="199"/>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c r="HJ11" s="198"/>
      <c r="HK11" s="198"/>
      <c r="HL11" s="198"/>
      <c r="HM11" s="198"/>
      <c r="HN11" s="198"/>
      <c r="HO11" s="198"/>
      <c r="HP11" s="198"/>
      <c r="HQ11" s="198"/>
      <c r="HR11" s="198"/>
      <c r="HS11" s="198"/>
      <c r="HT11" s="198"/>
      <c r="HU11" s="198"/>
      <c r="HV11" s="198"/>
      <c r="HW11" s="198"/>
      <c r="HX11" s="198"/>
      <c r="HY11" s="198"/>
      <c r="HZ11" s="198"/>
      <c r="IA11" s="198"/>
      <c r="IB11" s="198"/>
      <c r="IC11" s="198"/>
      <c r="ID11" s="198"/>
      <c r="IE11" s="198"/>
      <c r="IF11" s="198"/>
      <c r="IG11" s="198"/>
      <c r="IH11" s="198"/>
      <c r="II11" s="198"/>
      <c r="IJ11" s="198"/>
      <c r="IK11" s="198"/>
      <c r="IL11" s="198"/>
      <c r="IM11" s="198"/>
      <c r="IN11" s="198"/>
      <c r="IO11" s="198"/>
      <c r="IP11" s="198"/>
      <c r="IQ11" s="198"/>
      <c r="IR11" s="198"/>
      <c r="IS11" s="198"/>
      <c r="IT11" s="198"/>
      <c r="IU11" s="198"/>
      <c r="IV11" s="198"/>
    </row>
    <row r="12" spans="1:256" ht="21.75" customHeight="1">
      <c r="A12" s="206" t="s">
        <v>168</v>
      </c>
      <c r="B12" s="201" t="s">
        <v>115</v>
      </c>
      <c r="C12" s="201"/>
      <c r="D12" s="201"/>
      <c r="E12" s="201"/>
      <c r="F12" s="201"/>
      <c r="G12" s="201"/>
      <c r="H12" s="201"/>
      <c r="I12" s="201"/>
      <c r="J12" s="201"/>
      <c r="K12" s="199"/>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c r="HJ12" s="198"/>
      <c r="HK12" s="198"/>
      <c r="HL12" s="198"/>
      <c r="HM12" s="198"/>
      <c r="HN12" s="198"/>
      <c r="HO12" s="198"/>
      <c r="HP12" s="198"/>
      <c r="HQ12" s="198"/>
      <c r="HR12" s="198"/>
      <c r="HS12" s="198"/>
      <c r="HT12" s="198"/>
      <c r="HU12" s="198"/>
      <c r="HV12" s="198"/>
      <c r="HW12" s="198"/>
      <c r="HX12" s="198"/>
      <c r="HY12" s="198"/>
      <c r="HZ12" s="198"/>
      <c r="IA12" s="198"/>
      <c r="IB12" s="198"/>
      <c r="IC12" s="198"/>
      <c r="ID12" s="198"/>
      <c r="IE12" s="198"/>
      <c r="IF12" s="198"/>
      <c r="IG12" s="198"/>
      <c r="IH12" s="198"/>
      <c r="II12" s="198"/>
      <c r="IJ12" s="198"/>
      <c r="IK12" s="198"/>
      <c r="IL12" s="198"/>
      <c r="IM12" s="198"/>
      <c r="IN12" s="198"/>
      <c r="IO12" s="198"/>
      <c r="IP12" s="198"/>
      <c r="IQ12" s="198"/>
      <c r="IR12" s="198"/>
      <c r="IS12" s="198"/>
      <c r="IT12" s="198"/>
      <c r="IU12" s="198"/>
      <c r="IV12" s="198"/>
    </row>
    <row r="13" spans="1:256" ht="6" customHeight="1">
      <c r="A13" s="206"/>
      <c r="B13" s="201"/>
      <c r="C13" s="201"/>
      <c r="D13" s="201"/>
      <c r="E13" s="201"/>
      <c r="F13" s="201"/>
      <c r="G13" s="201"/>
      <c r="H13" s="201"/>
      <c r="I13" s="201"/>
      <c r="J13" s="201"/>
      <c r="K13" s="199"/>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98"/>
      <c r="HI13" s="198"/>
      <c r="HJ13" s="198"/>
      <c r="HK13" s="198"/>
      <c r="HL13" s="198"/>
      <c r="HM13" s="198"/>
      <c r="HN13" s="198"/>
      <c r="HO13" s="198"/>
      <c r="HP13" s="198"/>
      <c r="HQ13" s="198"/>
      <c r="HR13" s="198"/>
      <c r="HS13" s="198"/>
      <c r="HT13" s="198"/>
      <c r="HU13" s="198"/>
      <c r="HV13" s="198"/>
      <c r="HW13" s="198"/>
      <c r="HX13" s="198"/>
      <c r="HY13" s="198"/>
      <c r="HZ13" s="198"/>
      <c r="IA13" s="198"/>
      <c r="IB13" s="198"/>
      <c r="IC13" s="198"/>
      <c r="ID13" s="198"/>
      <c r="IE13" s="198"/>
      <c r="IF13" s="198"/>
      <c r="IG13" s="198"/>
      <c r="IH13" s="198"/>
      <c r="II13" s="198"/>
      <c r="IJ13" s="198"/>
      <c r="IK13" s="198"/>
      <c r="IL13" s="198"/>
      <c r="IM13" s="198"/>
      <c r="IN13" s="198"/>
      <c r="IO13" s="198"/>
      <c r="IP13" s="198"/>
      <c r="IQ13" s="198"/>
      <c r="IR13" s="198"/>
      <c r="IS13" s="198"/>
      <c r="IT13" s="198"/>
      <c r="IU13" s="198"/>
      <c r="IV13" s="198"/>
    </row>
    <row r="14" spans="1:12" s="703" customFormat="1" ht="90" customHeight="1">
      <c r="A14" s="263" t="s">
        <v>116</v>
      </c>
      <c r="B14" s="976" t="s">
        <v>388</v>
      </c>
      <c r="C14" s="976"/>
      <c r="D14" s="976"/>
      <c r="E14" s="976"/>
      <c r="F14" s="976"/>
      <c r="G14" s="976"/>
      <c r="H14" s="976"/>
      <c r="I14" s="976"/>
      <c r="J14" s="976"/>
      <c r="K14" s="702"/>
      <c r="L14" s="702"/>
    </row>
    <row r="15" spans="1:12" s="203" customFormat="1" ht="21.75" customHeight="1">
      <c r="A15" s="260" t="s">
        <v>217</v>
      </c>
      <c r="B15" s="5" t="s">
        <v>218</v>
      </c>
      <c r="C15" s="5"/>
      <c r="D15" s="5"/>
      <c r="E15" s="5"/>
      <c r="F15" s="5"/>
      <c r="G15" s="5"/>
      <c r="H15" s="704"/>
      <c r="I15" s="704"/>
      <c r="J15" s="705"/>
      <c r="K15" s="199"/>
      <c r="L15" s="199"/>
    </row>
    <row r="16" spans="1:12" s="201" customFormat="1" ht="19.5" customHeight="1">
      <c r="A16" s="706" t="s">
        <v>165</v>
      </c>
      <c r="B16" s="201" t="s">
        <v>345</v>
      </c>
      <c r="K16" s="199"/>
      <c r="L16" s="199"/>
    </row>
    <row r="17" spans="1:12" s="201" customFormat="1" ht="19.5" customHeight="1">
      <c r="A17" s="706" t="s">
        <v>220</v>
      </c>
      <c r="B17" s="201" t="s">
        <v>583</v>
      </c>
      <c r="K17" s="199"/>
      <c r="L17" s="199"/>
    </row>
    <row r="18" spans="1:12" s="198" customFormat="1" ht="25.5" customHeight="1">
      <c r="A18" s="260" t="s">
        <v>221</v>
      </c>
      <c r="B18" s="206" t="s">
        <v>167</v>
      </c>
      <c r="C18" s="199"/>
      <c r="D18" s="199"/>
      <c r="E18" s="199"/>
      <c r="F18" s="199"/>
      <c r="G18" s="199"/>
      <c r="H18" s="199"/>
      <c r="I18" s="261"/>
      <c r="J18" s="250"/>
      <c r="K18" s="199"/>
      <c r="L18" s="199"/>
    </row>
    <row r="19" spans="1:12" s="204" customFormat="1" ht="19.5" customHeight="1">
      <c r="A19" s="707" t="s">
        <v>165</v>
      </c>
      <c r="B19" s="203" t="s">
        <v>219</v>
      </c>
      <c r="C19" s="203"/>
      <c r="D19" s="203"/>
      <c r="E19" s="203"/>
      <c r="F19" s="203"/>
      <c r="G19" s="203"/>
      <c r="H19" s="203"/>
      <c r="I19" s="203"/>
      <c r="J19" s="203"/>
      <c r="K19" s="203"/>
      <c r="L19" s="203"/>
    </row>
    <row r="20" spans="1:12" s="198" customFormat="1" ht="18" customHeight="1">
      <c r="A20" s="260"/>
      <c r="B20" s="974" t="s">
        <v>386</v>
      </c>
      <c r="C20" s="974"/>
      <c r="D20" s="974"/>
      <c r="E20" s="974"/>
      <c r="F20" s="974"/>
      <c r="G20" s="974"/>
      <c r="H20" s="974"/>
      <c r="I20" s="974"/>
      <c r="J20" s="974"/>
      <c r="K20" s="201"/>
      <c r="L20" s="201"/>
    </row>
    <row r="21" spans="1:12" s="198" customFormat="1" ht="3.75" customHeight="1">
      <c r="A21" s="260"/>
      <c r="B21" s="200"/>
      <c r="C21" s="200"/>
      <c r="D21" s="200"/>
      <c r="E21" s="200"/>
      <c r="F21" s="200"/>
      <c r="G21" s="200"/>
      <c r="H21" s="200"/>
      <c r="I21" s="200"/>
      <c r="J21" s="200"/>
      <c r="K21" s="201"/>
      <c r="L21" s="201"/>
    </row>
    <row r="22" spans="1:12" s="198" customFormat="1" ht="19.5" customHeight="1">
      <c r="A22" s="5" t="s">
        <v>220</v>
      </c>
      <c r="B22" s="974" t="s">
        <v>117</v>
      </c>
      <c r="C22" s="974"/>
      <c r="D22" s="974"/>
      <c r="E22" s="974"/>
      <c r="F22" s="974"/>
      <c r="G22" s="974"/>
      <c r="H22" s="974"/>
      <c r="I22" s="974"/>
      <c r="J22" s="974"/>
      <c r="K22" s="201"/>
      <c r="L22" s="201"/>
    </row>
    <row r="23" spans="1:12" s="198" customFormat="1" ht="36" customHeight="1">
      <c r="A23" s="5"/>
      <c r="B23" s="974" t="s">
        <v>127</v>
      </c>
      <c r="C23" s="974"/>
      <c r="D23" s="974"/>
      <c r="E23" s="974"/>
      <c r="F23" s="974"/>
      <c r="G23" s="974"/>
      <c r="H23" s="974"/>
      <c r="I23" s="974"/>
      <c r="J23" s="974"/>
      <c r="K23" s="201"/>
      <c r="L23" s="201"/>
    </row>
    <row r="24" spans="1:12" s="198" customFormat="1" ht="21.75" customHeight="1">
      <c r="A24" s="707" t="s">
        <v>168</v>
      </c>
      <c r="B24" s="203" t="s">
        <v>369</v>
      </c>
      <c r="C24" s="203"/>
      <c r="D24" s="203"/>
      <c r="E24" s="203"/>
      <c r="F24" s="203"/>
      <c r="G24" s="203"/>
      <c r="H24" s="203"/>
      <c r="I24" s="264"/>
      <c r="J24" s="264"/>
      <c r="K24" s="203"/>
      <c r="L24" s="203"/>
    </row>
    <row r="25" spans="1:12" s="198" customFormat="1" ht="25.5" customHeight="1">
      <c r="A25" s="260" t="s">
        <v>222</v>
      </c>
      <c r="B25" s="206" t="s">
        <v>223</v>
      </c>
      <c r="C25" s="199"/>
      <c r="D25" s="199"/>
      <c r="E25" s="199"/>
      <c r="F25" s="199"/>
      <c r="G25" s="199"/>
      <c r="H25" s="199"/>
      <c r="I25" s="261"/>
      <c r="J25" s="250"/>
      <c r="K25" s="199"/>
      <c r="L25" s="199"/>
    </row>
    <row r="26" spans="1:12" s="206" customFormat="1" ht="24" customHeight="1">
      <c r="A26" s="265" t="s">
        <v>165</v>
      </c>
      <c r="B26" s="252" t="s">
        <v>586</v>
      </c>
      <c r="C26" s="203"/>
      <c r="D26" s="203"/>
      <c r="E26" s="203"/>
      <c r="F26" s="203"/>
      <c r="G26" s="203"/>
      <c r="H26" s="203"/>
      <c r="I26" s="264"/>
      <c r="J26" s="264"/>
      <c r="K26" s="203"/>
      <c r="L26" s="203"/>
    </row>
    <row r="27" spans="1:12" s="206" customFormat="1" ht="51.75" customHeight="1">
      <c r="A27" s="201"/>
      <c r="B27" s="974" t="s">
        <v>48</v>
      </c>
      <c r="C27" s="974"/>
      <c r="D27" s="974"/>
      <c r="E27" s="974"/>
      <c r="F27" s="974"/>
      <c r="G27" s="974"/>
      <c r="H27" s="974"/>
      <c r="I27" s="974"/>
      <c r="J27" s="974"/>
      <c r="K27" s="201"/>
      <c r="L27" s="201"/>
    </row>
    <row r="28" spans="1:12" s="206" customFormat="1" ht="56.25" customHeight="1">
      <c r="A28" s="198"/>
      <c r="B28" s="974" t="s">
        <v>129</v>
      </c>
      <c r="C28" s="974"/>
      <c r="D28" s="974"/>
      <c r="E28" s="974"/>
      <c r="F28" s="974"/>
      <c r="G28" s="974"/>
      <c r="H28" s="974"/>
      <c r="I28" s="974"/>
      <c r="J28" s="974"/>
      <c r="K28" s="702"/>
      <c r="L28" s="702"/>
    </row>
    <row r="29" spans="1:12" s="206" customFormat="1" ht="36" customHeight="1">
      <c r="A29" s="198"/>
      <c r="B29" s="974" t="s">
        <v>133</v>
      </c>
      <c r="C29" s="974"/>
      <c r="D29" s="974"/>
      <c r="E29" s="974"/>
      <c r="F29" s="974"/>
      <c r="G29" s="974"/>
      <c r="H29" s="974"/>
      <c r="I29" s="974"/>
      <c r="J29" s="974"/>
      <c r="K29" s="201"/>
      <c r="L29" s="201"/>
    </row>
    <row r="30" spans="1:12" s="206" customFormat="1" ht="19.5" customHeight="1">
      <c r="A30" s="198"/>
      <c r="B30" s="200"/>
      <c r="C30" s="200"/>
      <c r="D30" s="200"/>
      <c r="E30" s="200"/>
      <c r="F30" s="200"/>
      <c r="G30" s="200"/>
      <c r="H30" s="200"/>
      <c r="I30" s="200"/>
      <c r="J30" s="200"/>
      <c r="K30" s="201"/>
      <c r="L30" s="201"/>
    </row>
    <row r="31" spans="1:12" s="206" customFormat="1" ht="24" customHeight="1">
      <c r="A31" s="266" t="s">
        <v>220</v>
      </c>
      <c r="B31" s="206" t="s">
        <v>124</v>
      </c>
      <c r="C31" s="199"/>
      <c r="D31" s="199"/>
      <c r="E31" s="199"/>
      <c r="F31" s="199"/>
      <c r="G31" s="199"/>
      <c r="H31" s="199"/>
      <c r="I31" s="261"/>
      <c r="J31" s="261"/>
      <c r="K31" s="201"/>
      <c r="L31" s="201"/>
    </row>
    <row r="32" spans="1:12" s="206" customFormat="1" ht="36" customHeight="1">
      <c r="A32" s="201"/>
      <c r="B32" s="974" t="s">
        <v>487</v>
      </c>
      <c r="C32" s="974"/>
      <c r="D32" s="974"/>
      <c r="E32" s="974"/>
      <c r="F32" s="974"/>
      <c r="G32" s="974"/>
      <c r="H32" s="974"/>
      <c r="I32" s="974"/>
      <c r="J32" s="974"/>
      <c r="K32" s="203"/>
      <c r="L32" s="203"/>
    </row>
    <row r="33" spans="1:12" s="206" customFormat="1" ht="19.5" customHeight="1">
      <c r="A33" s="201"/>
      <c r="B33" s="974" t="s">
        <v>0</v>
      </c>
      <c r="C33" s="974"/>
      <c r="D33" s="974"/>
      <c r="E33" s="974"/>
      <c r="F33" s="974"/>
      <c r="G33" s="974"/>
      <c r="H33" s="974"/>
      <c r="I33" s="974"/>
      <c r="J33" s="974"/>
      <c r="K33" s="203"/>
      <c r="L33" s="203"/>
    </row>
    <row r="34" spans="1:12" s="206" customFormat="1" ht="19.5" customHeight="1">
      <c r="A34" s="201"/>
      <c r="B34" s="974" t="s">
        <v>1</v>
      </c>
      <c r="C34" s="974"/>
      <c r="D34" s="974"/>
      <c r="E34" s="974"/>
      <c r="F34" s="974"/>
      <c r="G34" s="974"/>
      <c r="H34" s="974"/>
      <c r="I34" s="974"/>
      <c r="J34" s="974"/>
      <c r="K34" s="203"/>
      <c r="L34" s="203"/>
    </row>
    <row r="35" spans="1:12" s="206" customFormat="1" ht="19.5" customHeight="1">
      <c r="A35" s="201"/>
      <c r="B35" s="974" t="s">
        <v>376</v>
      </c>
      <c r="C35" s="974"/>
      <c r="D35" s="974"/>
      <c r="E35" s="974"/>
      <c r="F35" s="974"/>
      <c r="G35" s="974"/>
      <c r="H35" s="974"/>
      <c r="I35" s="974"/>
      <c r="J35" s="974"/>
      <c r="K35" s="203"/>
      <c r="L35" s="203"/>
    </row>
    <row r="36" spans="1:10" s="206" customFormat="1" ht="24" customHeight="1">
      <c r="A36" s="266" t="s">
        <v>168</v>
      </c>
      <c r="B36" s="5" t="s">
        <v>49</v>
      </c>
      <c r="C36" s="5"/>
      <c r="D36" s="5"/>
      <c r="E36" s="5"/>
      <c r="F36" s="5"/>
      <c r="G36" s="5"/>
      <c r="H36" s="5"/>
      <c r="I36" s="5"/>
      <c r="J36" s="5"/>
    </row>
    <row r="37" spans="1:10" s="206" customFormat="1" ht="72" customHeight="1">
      <c r="A37" s="201"/>
      <c r="B37" s="974" t="s">
        <v>488</v>
      </c>
      <c r="C37" s="974"/>
      <c r="D37" s="974"/>
      <c r="E37" s="974"/>
      <c r="F37" s="974"/>
      <c r="G37" s="974"/>
      <c r="H37" s="974"/>
      <c r="I37" s="974"/>
      <c r="J37" s="974"/>
    </row>
    <row r="38" spans="1:10" s="206" customFormat="1" ht="36" customHeight="1">
      <c r="A38" s="201"/>
      <c r="B38" s="974" t="s">
        <v>2</v>
      </c>
      <c r="C38" s="974"/>
      <c r="D38" s="974"/>
      <c r="E38" s="974"/>
      <c r="F38" s="974"/>
      <c r="G38" s="974"/>
      <c r="H38" s="974"/>
      <c r="I38" s="974"/>
      <c r="J38" s="974"/>
    </row>
    <row r="39" spans="1:10" s="206" customFormat="1" ht="52.5" customHeight="1">
      <c r="A39" s="201"/>
      <c r="B39" s="974" t="s">
        <v>489</v>
      </c>
      <c r="C39" s="974"/>
      <c r="D39" s="974"/>
      <c r="E39" s="974"/>
      <c r="F39" s="974"/>
      <c r="G39" s="974"/>
      <c r="H39" s="974"/>
      <c r="I39" s="974"/>
      <c r="J39" s="974"/>
    </row>
    <row r="40" spans="1:10" s="206" customFormat="1" ht="24" customHeight="1">
      <c r="A40" s="206" t="s">
        <v>170</v>
      </c>
      <c r="B40" s="206" t="s">
        <v>243</v>
      </c>
      <c r="C40" s="267"/>
      <c r="D40" s="267"/>
      <c r="E40" s="267"/>
      <c r="F40" s="267"/>
      <c r="G40" s="267"/>
      <c r="H40" s="267"/>
      <c r="I40" s="708"/>
      <c r="J40" s="268"/>
    </row>
    <row r="41" spans="1:10" s="206" customFormat="1" ht="19.5" customHeight="1">
      <c r="A41" s="269"/>
      <c r="B41" s="974" t="s">
        <v>46</v>
      </c>
      <c r="C41" s="974"/>
      <c r="D41" s="974"/>
      <c r="E41" s="974"/>
      <c r="F41" s="974"/>
      <c r="G41" s="974"/>
      <c r="H41" s="974"/>
      <c r="I41" s="974"/>
      <c r="J41" s="974"/>
    </row>
    <row r="42" spans="1:10" s="206" customFormat="1" ht="18" customHeight="1">
      <c r="A42" s="269"/>
      <c r="B42" s="973" t="s">
        <v>19</v>
      </c>
      <c r="C42" s="974"/>
      <c r="D42" s="974"/>
      <c r="E42" s="974"/>
      <c r="F42" s="974"/>
      <c r="G42" s="974"/>
      <c r="H42" s="974"/>
      <c r="I42" s="974"/>
      <c r="J42" s="974"/>
    </row>
    <row r="43" spans="1:10" s="206" customFormat="1" ht="54" customHeight="1">
      <c r="A43" s="269"/>
      <c r="B43" s="973" t="s">
        <v>490</v>
      </c>
      <c r="C43" s="974"/>
      <c r="D43" s="974"/>
      <c r="E43" s="974"/>
      <c r="F43" s="974"/>
      <c r="G43" s="974"/>
      <c r="H43" s="974"/>
      <c r="I43" s="974"/>
      <c r="J43" s="974"/>
    </row>
    <row r="44" spans="1:10" s="206" customFormat="1" ht="36" customHeight="1">
      <c r="A44" s="269"/>
      <c r="B44" s="974" t="s">
        <v>47</v>
      </c>
      <c r="C44" s="974"/>
      <c r="D44" s="974"/>
      <c r="E44" s="974"/>
      <c r="F44" s="974"/>
      <c r="G44" s="974"/>
      <c r="H44" s="974"/>
      <c r="I44" s="974"/>
      <c r="J44" s="974"/>
    </row>
    <row r="45" spans="1:10" s="206" customFormat="1" ht="24" customHeight="1">
      <c r="A45" s="206" t="s">
        <v>269</v>
      </c>
      <c r="B45" s="975" t="s">
        <v>342</v>
      </c>
      <c r="C45" s="975"/>
      <c r="D45" s="975"/>
      <c r="E45" s="975"/>
      <c r="F45" s="975"/>
      <c r="G45" s="975"/>
      <c r="H45" s="975"/>
      <c r="I45" s="975"/>
      <c r="J45" s="975"/>
    </row>
    <row r="46" spans="1:10" s="206" customFormat="1" ht="36" customHeight="1">
      <c r="A46" s="270"/>
      <c r="B46" s="974" t="s">
        <v>491</v>
      </c>
      <c r="C46" s="974"/>
      <c r="D46" s="974"/>
      <c r="E46" s="974"/>
      <c r="F46" s="974"/>
      <c r="G46" s="974"/>
      <c r="H46" s="974"/>
      <c r="I46" s="974"/>
      <c r="J46" s="974"/>
    </row>
    <row r="47" spans="1:10" s="206" customFormat="1" ht="24" customHeight="1">
      <c r="A47" s="206" t="s">
        <v>343</v>
      </c>
      <c r="B47" s="975" t="s">
        <v>344</v>
      </c>
      <c r="C47" s="975"/>
      <c r="D47" s="975"/>
      <c r="E47" s="975"/>
      <c r="F47" s="975"/>
      <c r="G47" s="975"/>
      <c r="H47" s="975"/>
      <c r="I47" s="975"/>
      <c r="J47" s="975"/>
    </row>
    <row r="48" spans="1:10" s="206" customFormat="1" ht="19.5" customHeight="1">
      <c r="A48" s="270"/>
      <c r="B48" s="974" t="s">
        <v>492</v>
      </c>
      <c r="C48" s="974"/>
      <c r="D48" s="974"/>
      <c r="E48" s="974"/>
      <c r="F48" s="974"/>
      <c r="G48" s="974"/>
      <c r="H48" s="974"/>
      <c r="I48" s="974"/>
      <c r="J48" s="974"/>
    </row>
    <row r="49" spans="1:12" ht="24" customHeight="1">
      <c r="A49" s="266" t="s">
        <v>244</v>
      </c>
      <c r="B49" s="5" t="s">
        <v>245</v>
      </c>
      <c r="C49" s="5"/>
      <c r="D49" s="5"/>
      <c r="E49" s="5"/>
      <c r="F49" s="5"/>
      <c r="G49" s="5"/>
      <c r="H49" s="5"/>
      <c r="I49" s="5"/>
      <c r="J49" s="5"/>
      <c r="K49" s="206"/>
      <c r="L49" s="206"/>
    </row>
    <row r="50" spans="1:11" s="206" customFormat="1" ht="36" customHeight="1">
      <c r="A50" s="266"/>
      <c r="B50" s="973" t="s">
        <v>493</v>
      </c>
      <c r="C50" s="974"/>
      <c r="D50" s="974"/>
      <c r="E50" s="974"/>
      <c r="F50" s="974"/>
      <c r="G50" s="974"/>
      <c r="H50" s="974"/>
      <c r="I50" s="974"/>
      <c r="J50" s="974"/>
      <c r="K50" s="226"/>
    </row>
    <row r="51" spans="1:11" s="206" customFormat="1" ht="36" customHeight="1">
      <c r="A51" s="266"/>
      <c r="B51" s="974" t="s">
        <v>573</v>
      </c>
      <c r="C51" s="974"/>
      <c r="D51" s="974"/>
      <c r="E51" s="974"/>
      <c r="F51" s="974"/>
      <c r="G51" s="974"/>
      <c r="H51" s="974"/>
      <c r="I51" s="974"/>
      <c r="J51" s="974"/>
      <c r="K51" s="226"/>
    </row>
    <row r="52" spans="1:11" s="206" customFormat="1" ht="19.5" customHeight="1">
      <c r="A52" s="266"/>
      <c r="B52" s="200"/>
      <c r="C52" s="200"/>
      <c r="D52" s="200"/>
      <c r="E52" s="200"/>
      <c r="F52" s="200"/>
      <c r="G52" s="200"/>
      <c r="H52" s="200"/>
      <c r="I52" s="200"/>
      <c r="J52" s="200"/>
      <c r="K52" s="226"/>
    </row>
    <row r="53" spans="1:12" ht="21.75" customHeight="1">
      <c r="A53" s="266" t="s">
        <v>332</v>
      </c>
      <c r="B53" s="5" t="s">
        <v>246</v>
      </c>
      <c r="C53" s="5"/>
      <c r="D53" s="5"/>
      <c r="E53" s="5"/>
      <c r="F53" s="5"/>
      <c r="G53" s="5"/>
      <c r="H53" s="5"/>
      <c r="I53" s="5"/>
      <c r="J53" s="5"/>
      <c r="K53" s="206"/>
      <c r="L53" s="206"/>
    </row>
    <row r="54" spans="1:11" s="206" customFormat="1" ht="51.75" customHeight="1">
      <c r="A54" s="266"/>
      <c r="B54" s="974" t="s">
        <v>494</v>
      </c>
      <c r="C54" s="974"/>
      <c r="D54" s="974"/>
      <c r="E54" s="974"/>
      <c r="F54" s="974"/>
      <c r="G54" s="974"/>
      <c r="H54" s="974"/>
      <c r="I54" s="974"/>
      <c r="J54" s="974"/>
      <c r="K54" s="226"/>
    </row>
    <row r="55" spans="1:12" ht="21.75" customHeight="1">
      <c r="A55" s="266" t="s">
        <v>364</v>
      </c>
      <c r="B55" s="5" t="s">
        <v>365</v>
      </c>
      <c r="C55" s="5"/>
      <c r="D55" s="5"/>
      <c r="E55" s="5"/>
      <c r="F55" s="5"/>
      <c r="G55" s="5"/>
      <c r="H55" s="5"/>
      <c r="I55" s="5"/>
      <c r="J55" s="5"/>
      <c r="K55" s="206"/>
      <c r="L55" s="206"/>
    </row>
    <row r="56" spans="1:11" s="206" customFormat="1" ht="62.25" customHeight="1">
      <c r="A56" s="266"/>
      <c r="B56" s="974" t="s">
        <v>495</v>
      </c>
      <c r="C56" s="974"/>
      <c r="D56" s="974"/>
      <c r="E56" s="974"/>
      <c r="F56" s="974"/>
      <c r="G56" s="974"/>
      <c r="H56" s="974"/>
      <c r="I56" s="974"/>
      <c r="J56" s="974"/>
      <c r="K56" s="226"/>
    </row>
    <row r="57" spans="1:11" s="206" customFormat="1" ht="19.5" customHeight="1">
      <c r="A57" s="266"/>
      <c r="B57" s="973" t="s">
        <v>496</v>
      </c>
      <c r="C57" s="974"/>
      <c r="D57" s="974"/>
      <c r="E57" s="974"/>
      <c r="F57" s="974"/>
      <c r="G57" s="974"/>
      <c r="H57" s="974"/>
      <c r="I57" s="974"/>
      <c r="J57" s="974"/>
      <c r="K57" s="226"/>
    </row>
    <row r="58" spans="1:11" s="206" customFormat="1" ht="25.5" customHeight="1">
      <c r="A58" s="266"/>
      <c r="B58" s="973" t="s">
        <v>497</v>
      </c>
      <c r="C58" s="974"/>
      <c r="D58" s="974"/>
      <c r="E58" s="974"/>
      <c r="F58" s="974"/>
      <c r="G58" s="974"/>
      <c r="H58" s="974"/>
      <c r="I58" s="974"/>
      <c r="J58" s="974"/>
      <c r="K58" s="226"/>
    </row>
    <row r="59" spans="1:11" s="206" customFormat="1" ht="34.5" customHeight="1">
      <c r="A59" s="266"/>
      <c r="B59" s="973" t="s">
        <v>498</v>
      </c>
      <c r="C59" s="974"/>
      <c r="D59" s="974"/>
      <c r="E59" s="974"/>
      <c r="F59" s="974"/>
      <c r="G59" s="974"/>
      <c r="H59" s="974"/>
      <c r="I59" s="974"/>
      <c r="J59" s="974"/>
      <c r="K59" s="226"/>
    </row>
    <row r="60" spans="1:11" s="252" customFormat="1" ht="6" customHeight="1">
      <c r="A60" s="265"/>
      <c r="B60" s="204"/>
      <c r="C60" s="709"/>
      <c r="D60" s="709"/>
      <c r="E60" s="709"/>
      <c r="F60" s="709"/>
      <c r="G60" s="709"/>
      <c r="H60" s="709"/>
      <c r="I60" s="709"/>
      <c r="J60" s="709"/>
      <c r="K60" s="710"/>
    </row>
    <row r="61" spans="1:11" ht="19.5" customHeight="1">
      <c r="A61" s="266" t="s">
        <v>240</v>
      </c>
      <c r="B61" s="975" t="s">
        <v>239</v>
      </c>
      <c r="C61" s="975"/>
      <c r="D61" s="975"/>
      <c r="E61" s="975"/>
      <c r="F61" s="975"/>
      <c r="G61" s="975"/>
      <c r="H61" s="975"/>
      <c r="I61" s="975"/>
      <c r="J61" s="975"/>
      <c r="K61" s="276"/>
    </row>
    <row r="62" spans="1:11" ht="21.75" customHeight="1">
      <c r="A62" s="271" t="s">
        <v>165</v>
      </c>
      <c r="B62" s="272" t="s">
        <v>499</v>
      </c>
      <c r="C62" s="254"/>
      <c r="D62" s="254"/>
      <c r="E62" s="273"/>
      <c r="F62" s="137"/>
      <c r="G62" s="230"/>
      <c r="H62" s="230"/>
      <c r="I62" s="711">
        <v>39447</v>
      </c>
      <c r="J62" s="712">
        <v>39082</v>
      </c>
      <c r="K62" s="278"/>
    </row>
    <row r="63" spans="2:10" ht="19.5" customHeight="1">
      <c r="B63" s="274" t="s">
        <v>335</v>
      </c>
      <c r="E63" s="275"/>
      <c r="F63" s="275"/>
      <c r="G63" s="91"/>
      <c r="H63" s="91"/>
      <c r="I63" s="276">
        <f>994367706+2923214342</f>
        <v>3917582048</v>
      </c>
      <c r="J63" s="276">
        <v>798995664</v>
      </c>
    </row>
    <row r="64" spans="2:10" ht="19.5" customHeight="1">
      <c r="B64" s="274" t="s">
        <v>336</v>
      </c>
      <c r="E64" s="275"/>
      <c r="F64" s="275"/>
      <c r="G64" s="112"/>
      <c r="H64" s="112"/>
      <c r="I64" s="278">
        <f>15347532+94421958</f>
        <v>109769490</v>
      </c>
      <c r="J64" s="278">
        <v>56903464</v>
      </c>
    </row>
    <row r="65" spans="3:10" ht="18" customHeight="1" hidden="1">
      <c r="C65" s="267" t="s">
        <v>337</v>
      </c>
      <c r="D65" s="275"/>
      <c r="E65" s="275"/>
      <c r="F65" s="275"/>
      <c r="G65" s="112"/>
      <c r="H65" s="112"/>
      <c r="I65" s="253"/>
      <c r="J65" s="277"/>
    </row>
    <row r="66" spans="1:12" ht="19.5" customHeight="1" thickBot="1">
      <c r="A66" s="257"/>
      <c r="B66" s="279"/>
      <c r="C66" s="280"/>
      <c r="D66" s="281" t="s">
        <v>265</v>
      </c>
      <c r="E66" s="280"/>
      <c r="F66" s="280"/>
      <c r="G66" s="282"/>
      <c r="H66" s="282"/>
      <c r="I66" s="283">
        <f>SUM(I63:I65)</f>
        <v>4027351538</v>
      </c>
      <c r="J66" s="283">
        <f>SUM(J63:J65)</f>
        <v>855899128</v>
      </c>
      <c r="L66" s="261"/>
    </row>
    <row r="67" spans="1:10" ht="3.75" customHeight="1" thickTop="1">
      <c r="A67" s="257"/>
      <c r="B67" s="256"/>
      <c r="C67" s="275"/>
      <c r="D67" s="9"/>
      <c r="E67" s="275"/>
      <c r="F67" s="275"/>
      <c r="G67" s="112"/>
      <c r="H67" s="112"/>
      <c r="I67" s="284"/>
      <c r="J67" s="284"/>
    </row>
    <row r="68" spans="1:10" ht="21.75" customHeight="1" hidden="1">
      <c r="A68" s="285" t="s">
        <v>220</v>
      </c>
      <c r="B68" s="286" t="s">
        <v>247</v>
      </c>
      <c r="C68" s="273"/>
      <c r="D68" s="197"/>
      <c r="E68" s="273"/>
      <c r="F68" s="273"/>
      <c r="G68" s="287"/>
      <c r="H68" s="287"/>
      <c r="I68" s="711" t="s">
        <v>75</v>
      </c>
      <c r="J68" s="712" t="s">
        <v>76</v>
      </c>
    </row>
    <row r="69" spans="2:11" ht="18.75" customHeight="1" hidden="1">
      <c r="B69" s="267" t="s">
        <v>175</v>
      </c>
      <c r="D69" s="275"/>
      <c r="E69" s="275"/>
      <c r="F69" s="275"/>
      <c r="G69" s="288"/>
      <c r="H69" s="970">
        <f>'[5]CDKT'!G15</f>
        <v>37664136514</v>
      </c>
      <c r="I69" s="970"/>
      <c r="J69" s="261">
        <f>'[5]CDKT'!I15</f>
        <v>19892948012</v>
      </c>
      <c r="K69" s="112"/>
    </row>
    <row r="70" spans="2:11" ht="18.75" customHeight="1" hidden="1">
      <c r="B70" s="267" t="s">
        <v>370</v>
      </c>
      <c r="D70" s="275"/>
      <c r="E70" s="275"/>
      <c r="F70" s="275"/>
      <c r="G70" s="288"/>
      <c r="H70" s="288"/>
      <c r="I70" s="250">
        <f>+'[5]CDKT'!G16</f>
        <v>7997040709</v>
      </c>
      <c r="J70" s="261">
        <f>'[5]CDKT'!I16</f>
        <v>2884807408</v>
      </c>
      <c r="K70" s="112"/>
    </row>
    <row r="71" spans="2:11" ht="19.5" customHeight="1" hidden="1">
      <c r="B71" s="279"/>
      <c r="C71" s="280"/>
      <c r="D71" s="281" t="s">
        <v>265</v>
      </c>
      <c r="E71" s="280"/>
      <c r="F71" s="280"/>
      <c r="G71" s="282"/>
      <c r="H71" s="943">
        <f>H69+I70</f>
        <v>45661177223</v>
      </c>
      <c r="I71" s="943"/>
      <c r="J71" s="283">
        <f>SUM(J68:J70)</f>
        <v>22777755420</v>
      </c>
      <c r="K71" s="402">
        <f>H71-'[5]CDKT'!G15-'[5]CDKT'!G16</f>
        <v>0</v>
      </c>
    </row>
    <row r="72" spans="2:11" ht="17.25" customHeight="1">
      <c r="B72" s="267"/>
      <c r="D72" s="275"/>
      <c r="E72" s="275"/>
      <c r="F72" s="275"/>
      <c r="G72" s="288"/>
      <c r="H72" s="288"/>
      <c r="I72" s="250"/>
      <c r="J72" s="261"/>
      <c r="K72" s="402"/>
    </row>
    <row r="73" spans="1:11" ht="17.25" customHeight="1">
      <c r="A73" s="271" t="s">
        <v>220</v>
      </c>
      <c r="B73" s="286" t="s">
        <v>247</v>
      </c>
      <c r="C73" s="254"/>
      <c r="D73" s="273"/>
      <c r="E73" s="273"/>
      <c r="F73" s="273"/>
      <c r="G73" s="308"/>
      <c r="H73" s="308"/>
      <c r="I73" s="711">
        <v>39447</v>
      </c>
      <c r="J73" s="712">
        <v>39082</v>
      </c>
      <c r="K73" s="402"/>
    </row>
    <row r="74" spans="2:11" ht="17.25" customHeight="1">
      <c r="B74" s="274" t="s">
        <v>175</v>
      </c>
      <c r="D74" s="275"/>
      <c r="E74" s="275"/>
      <c r="F74" s="275"/>
      <c r="G74" s="288"/>
      <c r="H74" s="288"/>
      <c r="I74" s="250">
        <v>32106247277</v>
      </c>
      <c r="J74" s="250">
        <v>37664136514</v>
      </c>
      <c r="K74" s="402"/>
    </row>
    <row r="75" spans="2:11" ht="17.25" customHeight="1">
      <c r="B75" s="274" t="s">
        <v>500</v>
      </c>
      <c r="D75" s="275"/>
      <c r="E75" s="275"/>
      <c r="F75" s="275"/>
      <c r="G75" s="288"/>
      <c r="H75" s="288"/>
      <c r="I75" s="250">
        <v>4020399389</v>
      </c>
      <c r="J75" s="250">
        <v>7997040709</v>
      </c>
      <c r="K75" s="402"/>
    </row>
    <row r="76" spans="2:11" ht="17.25" customHeight="1" thickBot="1">
      <c r="B76" s="279"/>
      <c r="C76" s="280"/>
      <c r="D76" s="281" t="s">
        <v>265</v>
      </c>
      <c r="E76" s="280"/>
      <c r="F76" s="280"/>
      <c r="G76" s="282"/>
      <c r="H76" s="282"/>
      <c r="I76" s="283">
        <f>SUM(I74:I75)</f>
        <v>36126646666</v>
      </c>
      <c r="J76" s="283">
        <f>SUM(J74:J75)</f>
        <v>45661177223</v>
      </c>
      <c r="K76" s="402"/>
    </row>
    <row r="77" spans="2:11" ht="17.25" customHeight="1" thickTop="1">
      <c r="B77" s="267"/>
      <c r="D77" s="275"/>
      <c r="E77" s="275"/>
      <c r="F77" s="275"/>
      <c r="G77" s="288"/>
      <c r="H77" s="288"/>
      <c r="I77" s="250"/>
      <c r="J77" s="261"/>
      <c r="K77" s="402"/>
    </row>
    <row r="78" spans="1:11" s="294" customFormat="1" ht="24" customHeight="1">
      <c r="A78" s="285" t="s">
        <v>168</v>
      </c>
      <c r="B78" s="289" t="s">
        <v>248</v>
      </c>
      <c r="C78" s="290"/>
      <c r="D78" s="290"/>
      <c r="E78" s="290"/>
      <c r="F78" s="290"/>
      <c r="G78" s="291"/>
      <c r="H78" s="291"/>
      <c r="I78" s="711">
        <v>39447</v>
      </c>
      <c r="J78" s="712">
        <v>39082</v>
      </c>
      <c r="K78" s="409"/>
    </row>
    <row r="79" spans="1:11" s="294" customFormat="1" ht="19.5" customHeight="1" hidden="1">
      <c r="A79" s="292"/>
      <c r="B79" s="293" t="s">
        <v>249</v>
      </c>
      <c r="D79" s="295"/>
      <c r="E79" s="295"/>
      <c r="F79" s="295"/>
      <c r="G79" s="296"/>
      <c r="H79" s="296"/>
      <c r="I79" s="297"/>
      <c r="J79" s="297"/>
      <c r="K79" s="409"/>
    </row>
    <row r="80" spans="1:11" s="294" customFormat="1" ht="19.5" customHeight="1" hidden="1">
      <c r="A80" s="292"/>
      <c r="B80" s="293" t="s">
        <v>250</v>
      </c>
      <c r="D80" s="295"/>
      <c r="E80" s="295"/>
      <c r="F80" s="295"/>
      <c r="G80" s="296"/>
      <c r="H80" s="296"/>
      <c r="I80" s="297"/>
      <c r="J80" s="297"/>
      <c r="K80" s="409"/>
    </row>
    <row r="81" spans="1:11" s="294" customFormat="1" ht="19.5" customHeight="1">
      <c r="A81" s="292"/>
      <c r="B81" s="293" t="s">
        <v>251</v>
      </c>
      <c r="D81" s="295"/>
      <c r="E81" s="295"/>
      <c r="F81" s="295"/>
      <c r="G81" s="296"/>
      <c r="H81" s="296"/>
      <c r="I81" s="297">
        <f>I82+I83+I84+I85+I86+I87</f>
        <v>649288189</v>
      </c>
      <c r="J81" s="297">
        <f>SUM(J82:J88)</f>
        <v>1165286094</v>
      </c>
      <c r="K81" s="409"/>
    </row>
    <row r="82" spans="1:11" s="294" customFormat="1" ht="18" customHeight="1">
      <c r="A82" s="292"/>
      <c r="B82" s="298"/>
      <c r="D82" s="299" t="s">
        <v>397</v>
      </c>
      <c r="E82" s="295"/>
      <c r="F82" s="295"/>
      <c r="G82" s="296"/>
      <c r="H82" s="296"/>
      <c r="I82" s="300"/>
      <c r="J82" s="300">
        <v>128372554</v>
      </c>
      <c r="K82" s="409"/>
    </row>
    <row r="83" spans="1:11" s="294" customFormat="1" ht="18" customHeight="1">
      <c r="A83" s="292"/>
      <c r="B83" s="298"/>
      <c r="D83" s="299" t="s">
        <v>398</v>
      </c>
      <c r="E83" s="295"/>
      <c r="F83" s="295"/>
      <c r="G83" s="296"/>
      <c r="H83" s="296"/>
      <c r="I83" s="300">
        <v>180482512</v>
      </c>
      <c r="J83" s="300">
        <v>227943452</v>
      </c>
      <c r="K83" s="409"/>
    </row>
    <row r="84" spans="1:11" s="294" customFormat="1" ht="18" customHeight="1">
      <c r="A84" s="292"/>
      <c r="B84" s="298"/>
      <c r="D84" s="299" t="s">
        <v>399</v>
      </c>
      <c r="E84" s="295"/>
      <c r="F84" s="295"/>
      <c r="G84" s="296"/>
      <c r="H84" s="296"/>
      <c r="I84" s="300">
        <v>210476407</v>
      </c>
      <c r="J84" s="300">
        <v>105649796</v>
      </c>
      <c r="K84" s="409"/>
    </row>
    <row r="85" spans="1:11" s="294" customFormat="1" ht="18" customHeight="1">
      <c r="A85" s="292"/>
      <c r="B85" s="298"/>
      <c r="D85" s="299" t="s">
        <v>400</v>
      </c>
      <c r="E85" s="295"/>
      <c r="F85" s="295"/>
      <c r="G85" s="296"/>
      <c r="H85" s="296"/>
      <c r="I85" s="300">
        <v>0</v>
      </c>
      <c r="J85" s="300">
        <v>270668292</v>
      </c>
      <c r="K85" s="409"/>
    </row>
    <row r="86" spans="1:11" s="294" customFormat="1" ht="18" customHeight="1">
      <c r="A86" s="292"/>
      <c r="B86" s="298"/>
      <c r="D86" s="299" t="s">
        <v>582</v>
      </c>
      <c r="E86" s="295"/>
      <c r="F86" s="295"/>
      <c r="G86" s="296"/>
      <c r="H86" s="296"/>
      <c r="I86" s="300">
        <v>81095840</v>
      </c>
      <c r="J86" s="300">
        <v>432652000</v>
      </c>
      <c r="K86" s="409"/>
    </row>
    <row r="87" spans="1:11" s="294" customFormat="1" ht="18" customHeight="1">
      <c r="A87" s="292"/>
      <c r="B87" s="298"/>
      <c r="D87" s="299" t="s">
        <v>421</v>
      </c>
      <c r="E87" s="295"/>
      <c r="F87" s="295"/>
      <c r="G87" s="296"/>
      <c r="H87" s="296"/>
      <c r="I87" s="300">
        <v>177233430</v>
      </c>
      <c r="J87" s="300">
        <v>0</v>
      </c>
      <c r="K87" s="409"/>
    </row>
    <row r="88" spans="1:11" s="294" customFormat="1" ht="18" customHeight="1">
      <c r="A88" s="292"/>
      <c r="B88" s="301" t="s">
        <v>375</v>
      </c>
      <c r="D88" s="295"/>
      <c r="E88" s="295"/>
      <c r="F88" s="295"/>
      <c r="G88" s="296"/>
      <c r="H88" s="296"/>
      <c r="I88" s="297">
        <v>0</v>
      </c>
      <c r="J88" s="297">
        <v>0</v>
      </c>
      <c r="K88" s="409"/>
    </row>
    <row r="89" spans="1:12" s="294" customFormat="1" ht="19.5" customHeight="1" thickBot="1">
      <c r="A89" s="292"/>
      <c r="B89" s="303"/>
      <c r="C89" s="304"/>
      <c r="D89" s="305" t="s">
        <v>265</v>
      </c>
      <c r="E89" s="304"/>
      <c r="F89" s="304"/>
      <c r="G89" s="306"/>
      <c r="H89" s="306"/>
      <c r="I89" s="307">
        <f>I81+I88</f>
        <v>649288189</v>
      </c>
      <c r="J89" s="307">
        <f>J88+J81</f>
        <v>1165286094</v>
      </c>
      <c r="K89" s="713"/>
      <c r="L89" s="427"/>
    </row>
    <row r="90" spans="2:12" ht="15" customHeight="1" thickTop="1">
      <c r="B90" s="256"/>
      <c r="C90" s="275"/>
      <c r="D90" s="9"/>
      <c r="E90" s="275"/>
      <c r="F90" s="275"/>
      <c r="G90" s="112"/>
      <c r="H90" s="112"/>
      <c r="I90" s="284"/>
      <c r="J90" s="284"/>
      <c r="K90" s="112"/>
      <c r="L90" s="480"/>
    </row>
    <row r="91" spans="1:11" ht="18" customHeight="1">
      <c r="A91" s="271" t="s">
        <v>169</v>
      </c>
      <c r="B91" s="286" t="s">
        <v>266</v>
      </c>
      <c r="C91" s="273"/>
      <c r="D91" s="273"/>
      <c r="E91" s="273"/>
      <c r="F91" s="273"/>
      <c r="G91" s="308"/>
      <c r="H91" s="308"/>
      <c r="I91" s="711">
        <v>39447</v>
      </c>
      <c r="J91" s="712">
        <v>39082</v>
      </c>
      <c r="K91" s="250"/>
    </row>
    <row r="92" spans="3:11" ht="3.75" customHeight="1">
      <c r="C92" s="267"/>
      <c r="D92" s="275"/>
      <c r="E92" s="275"/>
      <c r="F92" s="275"/>
      <c r="G92" s="288"/>
      <c r="H92" s="288"/>
      <c r="I92" s="250"/>
      <c r="J92" s="261"/>
      <c r="K92" s="250"/>
    </row>
    <row r="93" spans="2:11" ht="18" customHeight="1">
      <c r="B93" s="267" t="s">
        <v>338</v>
      </c>
      <c r="D93" s="275"/>
      <c r="E93" s="275"/>
      <c r="F93" s="275"/>
      <c r="G93" s="288"/>
      <c r="H93" s="288"/>
      <c r="I93" s="250">
        <f>491817000+140307522</f>
        <v>632124522</v>
      </c>
      <c r="J93" s="250">
        <v>548264441</v>
      </c>
      <c r="K93" s="250"/>
    </row>
    <row r="94" spans="2:11" ht="18" customHeight="1">
      <c r="B94" s="267" t="s">
        <v>401</v>
      </c>
      <c r="D94" s="275"/>
      <c r="E94" s="275"/>
      <c r="F94" s="275"/>
      <c r="G94" s="288"/>
      <c r="H94" s="288"/>
      <c r="I94" s="250">
        <f>490316518+427767010</f>
        <v>918083528</v>
      </c>
      <c r="J94" s="250">
        <v>851132967</v>
      </c>
      <c r="K94" s="250"/>
    </row>
    <row r="95" spans="2:11" ht="18" customHeight="1">
      <c r="B95" s="267" t="s">
        <v>402</v>
      </c>
      <c r="D95" s="275"/>
      <c r="E95" s="275"/>
      <c r="F95" s="275"/>
      <c r="G95" s="288"/>
      <c r="H95" s="288"/>
      <c r="I95" s="250">
        <f>64446147+22683803</f>
        <v>87129950</v>
      </c>
      <c r="J95" s="250">
        <v>1187501179</v>
      </c>
      <c r="K95" s="250"/>
    </row>
    <row r="96" spans="2:11" ht="18" customHeight="1">
      <c r="B96" s="267" t="s">
        <v>339</v>
      </c>
      <c r="D96" s="275"/>
      <c r="E96" s="275"/>
      <c r="F96" s="275"/>
      <c r="G96" s="288"/>
      <c r="I96" s="714">
        <f>13844364535+5538414067</f>
        <v>19382778602</v>
      </c>
      <c r="J96" s="714">
        <v>12949071983</v>
      </c>
      <c r="K96" s="250"/>
    </row>
    <row r="97" spans="2:12" ht="21.75" customHeight="1" thickBot="1">
      <c r="B97" s="309"/>
      <c r="C97" s="309"/>
      <c r="D97" s="309" t="s">
        <v>267</v>
      </c>
      <c r="E97" s="309"/>
      <c r="F97" s="310"/>
      <c r="G97" s="310"/>
      <c r="H97" s="971">
        <f>I93+I94+I95+I96</f>
        <v>21020116602</v>
      </c>
      <c r="I97" s="971"/>
      <c r="J97" s="311">
        <f>SUM(J93:J96)</f>
        <v>15535970570</v>
      </c>
      <c r="K97" s="402"/>
      <c r="L97" s="261"/>
    </row>
    <row r="98" spans="2:12" ht="15" customHeight="1" thickTop="1">
      <c r="B98" s="256"/>
      <c r="C98" s="275"/>
      <c r="D98" s="9"/>
      <c r="E98" s="275"/>
      <c r="F98" s="275"/>
      <c r="G98" s="112"/>
      <c r="H98" s="112"/>
      <c r="I98" s="284"/>
      <c r="J98" s="284"/>
      <c r="K98" s="112"/>
      <c r="L98" s="480"/>
    </row>
    <row r="99" spans="1:11" ht="18" customHeight="1">
      <c r="A99" s="10" t="s">
        <v>170</v>
      </c>
      <c r="B99" s="286" t="s">
        <v>575</v>
      </c>
      <c r="C99" s="273"/>
      <c r="D99" s="273"/>
      <c r="E99" s="273"/>
      <c r="F99" s="273"/>
      <c r="G99" s="308"/>
      <c r="H99" s="308"/>
      <c r="I99" s="711">
        <v>39447</v>
      </c>
      <c r="J99" s="712">
        <v>39082</v>
      </c>
      <c r="K99" s="402"/>
    </row>
    <row r="100" spans="2:12" ht="18.75" customHeight="1">
      <c r="B100" s="267" t="s">
        <v>22</v>
      </c>
      <c r="D100" s="275"/>
      <c r="E100" s="275"/>
      <c r="F100" s="275"/>
      <c r="G100" s="288"/>
      <c r="H100" s="288"/>
      <c r="I100" s="250">
        <v>1081722828</v>
      </c>
      <c r="J100" s="250">
        <v>2331696059</v>
      </c>
      <c r="K100" s="402"/>
      <c r="L100" s="715"/>
    </row>
    <row r="101" spans="2:12" ht="18.75" customHeight="1">
      <c r="B101" s="274" t="s">
        <v>481</v>
      </c>
      <c r="C101" s="256"/>
      <c r="D101" s="275"/>
      <c r="E101" s="275"/>
      <c r="F101" s="275"/>
      <c r="G101" s="288"/>
      <c r="H101" s="288"/>
      <c r="I101" s="276">
        <f>136021716+16924558</f>
        <v>152946274</v>
      </c>
      <c r="J101" s="276">
        <v>137261966</v>
      </c>
      <c r="K101" s="402"/>
      <c r="L101" s="715"/>
    </row>
    <row r="102" spans="2:12" ht="18.75" customHeight="1" thickBot="1">
      <c r="B102" s="312"/>
      <c r="C102" s="279"/>
      <c r="D102" s="305" t="s">
        <v>265</v>
      </c>
      <c r="E102" s="280"/>
      <c r="F102" s="280"/>
      <c r="G102" s="313"/>
      <c r="H102" s="313"/>
      <c r="I102" s="310">
        <f>I100+I101</f>
        <v>1234669102</v>
      </c>
      <c r="J102" s="310">
        <f>J100+J101</f>
        <v>2468958025</v>
      </c>
      <c r="K102" s="402"/>
      <c r="L102" s="715"/>
    </row>
    <row r="103" spans="2:12" ht="15" customHeight="1" thickTop="1">
      <c r="B103" s="256"/>
      <c r="C103" s="275"/>
      <c r="D103" s="9"/>
      <c r="E103" s="275"/>
      <c r="F103" s="275"/>
      <c r="G103" s="112"/>
      <c r="H103" s="112"/>
      <c r="I103" s="284"/>
      <c r="J103" s="284"/>
      <c r="K103" s="716"/>
      <c r="L103" s="480"/>
    </row>
    <row r="104" spans="1:11" ht="21" customHeight="1">
      <c r="A104" s="271" t="s">
        <v>269</v>
      </c>
      <c r="B104" s="58" t="s">
        <v>52</v>
      </c>
      <c r="C104" s="257"/>
      <c r="D104" s="257"/>
      <c r="E104" s="257"/>
      <c r="F104" s="275"/>
      <c r="G104" s="288"/>
      <c r="H104" s="288"/>
      <c r="I104" s="276"/>
      <c r="J104" s="314"/>
      <c r="K104" s="402"/>
    </row>
    <row r="105" spans="1:11" ht="3.75" customHeight="1">
      <c r="A105" s="271"/>
      <c r="B105" s="58"/>
      <c r="C105" s="257"/>
      <c r="D105" s="257"/>
      <c r="E105" s="257"/>
      <c r="F105" s="275"/>
      <c r="G105" s="288"/>
      <c r="H105" s="288"/>
      <c r="I105" s="276"/>
      <c r="J105" s="314"/>
      <c r="K105" s="402"/>
    </row>
    <row r="106" spans="1:10" ht="33.75" customHeight="1">
      <c r="A106" s="319" t="s">
        <v>333</v>
      </c>
      <c r="B106" s="315"/>
      <c r="C106" s="315"/>
      <c r="D106" s="315"/>
      <c r="E106" s="315"/>
      <c r="F106" s="316" t="s">
        <v>501</v>
      </c>
      <c r="G106" s="317" t="s">
        <v>502</v>
      </c>
      <c r="H106" s="317" t="s">
        <v>425</v>
      </c>
      <c r="I106" s="317" t="s">
        <v>378</v>
      </c>
      <c r="J106" s="318" t="s">
        <v>268</v>
      </c>
    </row>
    <row r="107" spans="1:10" ht="20.25" customHeight="1">
      <c r="A107" s="319" t="s">
        <v>176</v>
      </c>
      <c r="B107" s="319"/>
      <c r="C107" s="319"/>
      <c r="D107" s="319"/>
      <c r="E107" s="319"/>
      <c r="F107" s="254"/>
      <c r="G107" s="254"/>
      <c r="H107" s="254"/>
      <c r="I107" s="320"/>
      <c r="J107" s="320"/>
    </row>
    <row r="108" spans="1:12" ht="21.75" customHeight="1">
      <c r="A108" s="321" t="s">
        <v>576</v>
      </c>
      <c r="B108" s="322"/>
      <c r="C108" s="322"/>
      <c r="D108" s="323"/>
      <c r="E108" s="324"/>
      <c r="F108" s="324">
        <v>17100016714</v>
      </c>
      <c r="G108" s="324">
        <v>18113448625</v>
      </c>
      <c r="H108" s="324">
        <v>591455292</v>
      </c>
      <c r="I108" s="324">
        <v>5665130316</v>
      </c>
      <c r="J108" s="717">
        <f>SUM(E108:I108)</f>
        <v>41470050947</v>
      </c>
      <c r="L108" s="261"/>
    </row>
    <row r="109" spans="1:14" ht="21.75" customHeight="1">
      <c r="A109" s="325" t="s">
        <v>423</v>
      </c>
      <c r="B109" s="326"/>
      <c r="C109" s="326"/>
      <c r="D109" s="256"/>
      <c r="E109" s="276"/>
      <c r="F109" s="327">
        <f>241289419+506885786</f>
        <v>748175205</v>
      </c>
      <c r="G109" s="327">
        <v>743257843</v>
      </c>
      <c r="H109" s="328"/>
      <c r="I109" s="328"/>
      <c r="J109" s="334">
        <f>SUM(E109:I109)</f>
        <v>1491433048</v>
      </c>
      <c r="K109" s="327"/>
      <c r="L109" s="327"/>
      <c r="M109" s="327"/>
      <c r="N109" s="327"/>
    </row>
    <row r="110" spans="1:15" s="718" customFormat="1" ht="19.5" customHeight="1">
      <c r="A110" s="329" t="s">
        <v>577</v>
      </c>
      <c r="B110" s="330"/>
      <c r="C110" s="330"/>
      <c r="D110" s="331"/>
      <c r="E110" s="332"/>
      <c r="F110" s="332"/>
      <c r="G110" s="334">
        <f>161748568+77275000</f>
        <v>239023568</v>
      </c>
      <c r="H110" s="334"/>
      <c r="I110" s="332">
        <v>700019683</v>
      </c>
      <c r="J110" s="334">
        <f>SUM(E110:I110)</f>
        <v>939043251</v>
      </c>
      <c r="K110" s="334"/>
      <c r="L110" s="334"/>
      <c r="M110" s="334"/>
      <c r="N110" s="332"/>
      <c r="O110" s="334"/>
    </row>
    <row r="111" spans="1:12" s="718" customFormat="1" ht="19.5" customHeight="1">
      <c r="A111" s="329" t="s">
        <v>60</v>
      </c>
      <c r="B111" s="330"/>
      <c r="C111" s="330"/>
      <c r="D111" s="331"/>
      <c r="E111" s="332"/>
      <c r="F111" s="332">
        <v>32917650</v>
      </c>
      <c r="G111" s="333">
        <v>376750</v>
      </c>
      <c r="H111" s="334"/>
      <c r="I111" s="332">
        <v>20973939</v>
      </c>
      <c r="J111" s="334">
        <f>SUM(E111:I111)</f>
        <v>54268339</v>
      </c>
      <c r="K111" s="719"/>
      <c r="L111" s="720"/>
    </row>
    <row r="112" spans="1:12" s="718" customFormat="1" ht="19.5" customHeight="1">
      <c r="A112" s="329" t="s">
        <v>424</v>
      </c>
      <c r="B112" s="330"/>
      <c r="C112" s="330"/>
      <c r="D112" s="331"/>
      <c r="E112" s="332"/>
      <c r="F112" s="332"/>
      <c r="G112" s="334">
        <v>119276000</v>
      </c>
      <c r="H112" s="334"/>
      <c r="I112" s="332"/>
      <c r="J112" s="334">
        <f>SUM(E112:I112)</f>
        <v>119276000</v>
      </c>
      <c r="K112" s="719"/>
      <c r="L112" s="720"/>
    </row>
    <row r="113" spans="1:13" s="718" customFormat="1" ht="19.5" customHeight="1">
      <c r="A113" s="325" t="s">
        <v>574</v>
      </c>
      <c r="B113" s="335"/>
      <c r="C113" s="335"/>
      <c r="E113" s="336"/>
      <c r="F113" s="336">
        <v>1000000000</v>
      </c>
      <c r="G113" s="327">
        <v>1848000</v>
      </c>
      <c r="H113" s="327"/>
      <c r="I113" s="336"/>
      <c r="J113" s="334">
        <f>SUM(F113:I113)</f>
        <v>1001848000</v>
      </c>
      <c r="K113" s="719"/>
      <c r="L113" s="720"/>
      <c r="M113" s="720">
        <f>SUM(L112:L113)</f>
        <v>0</v>
      </c>
    </row>
    <row r="114" spans="1:10" ht="19.5" customHeight="1">
      <c r="A114" s="337" t="s">
        <v>578</v>
      </c>
      <c r="B114" s="338"/>
      <c r="C114" s="339"/>
      <c r="D114" s="340"/>
      <c r="E114" s="341"/>
      <c r="F114" s="341">
        <f>F108+F109+F111-F113</f>
        <v>16881109569</v>
      </c>
      <c r="G114" s="341">
        <f>G108+G109+G110-G113+G111-G112</f>
        <v>18974982786</v>
      </c>
      <c r="H114" s="341">
        <f>H108+H111</f>
        <v>591455292</v>
      </c>
      <c r="I114" s="341">
        <f>I108+I110+I111</f>
        <v>6386123938</v>
      </c>
      <c r="J114" s="721">
        <f>J108+J109+J110+J111-J112-J113</f>
        <v>42833671585</v>
      </c>
    </row>
    <row r="115" spans="1:10" ht="21.75" customHeight="1">
      <c r="A115" s="319" t="s">
        <v>177</v>
      </c>
      <c r="B115" s="342"/>
      <c r="C115" s="342"/>
      <c r="D115" s="342"/>
      <c r="E115" s="342"/>
      <c r="F115" s="343"/>
      <c r="G115" s="343"/>
      <c r="H115" s="343"/>
      <c r="I115" s="343"/>
      <c r="J115" s="344"/>
    </row>
    <row r="116" spans="1:13" ht="19.5" customHeight="1">
      <c r="A116" s="321" t="s">
        <v>576</v>
      </c>
      <c r="B116" s="322"/>
      <c r="C116" s="322"/>
      <c r="D116" s="323"/>
      <c r="E116" s="345"/>
      <c r="F116" s="346">
        <v>1360697493</v>
      </c>
      <c r="G116" s="346">
        <v>6954121930</v>
      </c>
      <c r="H116" s="346">
        <v>367924075</v>
      </c>
      <c r="I116" s="346">
        <v>863935823</v>
      </c>
      <c r="J116" s="324">
        <f>SUM(E116:I116)</f>
        <v>9546679321</v>
      </c>
      <c r="L116" s="6"/>
      <c r="M116" s="6"/>
    </row>
    <row r="117" spans="1:15" ht="18" customHeight="1">
      <c r="A117" s="347" t="s">
        <v>503</v>
      </c>
      <c r="B117" s="348"/>
      <c r="C117" s="348"/>
      <c r="D117" s="349"/>
      <c r="E117" s="350"/>
      <c r="F117" s="351">
        <f>83011431+28968884</f>
        <v>111980315</v>
      </c>
      <c r="G117" s="351">
        <f>211330768+75917638</f>
        <v>287248406</v>
      </c>
      <c r="H117" s="351">
        <f>1992717+7465181</f>
        <v>9457898</v>
      </c>
      <c r="I117" s="351">
        <f>93788509+46354979</f>
        <v>140143488</v>
      </c>
      <c r="J117" s="352">
        <f>SUM(E117:I117)</f>
        <v>548830107</v>
      </c>
      <c r="K117" s="351"/>
      <c r="L117" s="722"/>
      <c r="M117" s="351"/>
      <c r="N117" s="351"/>
      <c r="O117" s="352">
        <f>SUM(J117:N117)</f>
        <v>548830107</v>
      </c>
    </row>
    <row r="118" spans="1:11" s="718" customFormat="1" ht="18" customHeight="1">
      <c r="A118" s="353" t="s">
        <v>5</v>
      </c>
      <c r="B118" s="354"/>
      <c r="C118" s="354"/>
      <c r="D118" s="331"/>
      <c r="E118" s="328"/>
      <c r="F118" s="334"/>
      <c r="G118" s="334">
        <v>104038816</v>
      </c>
      <c r="H118" s="334"/>
      <c r="I118" s="334"/>
      <c r="J118" s="334">
        <f>SUM(F118:I118)</f>
        <v>104038816</v>
      </c>
      <c r="K118" s="719"/>
    </row>
    <row r="119" spans="1:12" ht="19.5" customHeight="1">
      <c r="A119" s="355" t="s">
        <v>578</v>
      </c>
      <c r="B119" s="356"/>
      <c r="C119" s="357"/>
      <c r="E119" s="358"/>
      <c r="F119" s="358">
        <f>F116+F117-F118</f>
        <v>1472677808</v>
      </c>
      <c r="G119" s="358">
        <f>G116+G117-G118</f>
        <v>7137331520</v>
      </c>
      <c r="H119" s="358">
        <f>H116+H117-H118</f>
        <v>377381973</v>
      </c>
      <c r="I119" s="358">
        <f>I116+I117-I118</f>
        <v>1004079311</v>
      </c>
      <c r="J119" s="359">
        <f>SUM(E119:I119)</f>
        <v>9991470612</v>
      </c>
      <c r="L119" s="261"/>
    </row>
    <row r="120" spans="1:10" ht="21.75" customHeight="1">
      <c r="A120" s="319" t="s">
        <v>178</v>
      </c>
      <c r="B120" s="360"/>
      <c r="C120" s="360"/>
      <c r="D120" s="360"/>
      <c r="E120" s="360"/>
      <c r="F120" s="360"/>
      <c r="G120" s="343"/>
      <c r="H120" s="343"/>
      <c r="I120" s="343"/>
      <c r="J120" s="344"/>
    </row>
    <row r="121" spans="1:10" ht="19.5" customHeight="1">
      <c r="A121" s="361" t="s">
        <v>579</v>
      </c>
      <c r="B121" s="362"/>
      <c r="C121" s="362"/>
      <c r="E121" s="363"/>
      <c r="F121" s="363">
        <f>F108-F116</f>
        <v>15739319221</v>
      </c>
      <c r="G121" s="363">
        <f>G108-G116</f>
        <v>11159326695</v>
      </c>
      <c r="H121" s="363">
        <f>H108-H116</f>
        <v>223531217</v>
      </c>
      <c r="I121" s="363">
        <f>I108-I116</f>
        <v>4801194493</v>
      </c>
      <c r="J121" s="363">
        <f>J108-J116</f>
        <v>31923371626</v>
      </c>
    </row>
    <row r="122" spans="1:10" ht="19.5" customHeight="1" thickBot="1">
      <c r="A122" s="364" t="s">
        <v>580</v>
      </c>
      <c r="B122" s="365"/>
      <c r="C122" s="365"/>
      <c r="D122" s="366"/>
      <c r="E122" s="367"/>
      <c r="F122" s="367">
        <f>F114-F119</f>
        <v>15408431761</v>
      </c>
      <c r="G122" s="367">
        <f>G114-G119</f>
        <v>11837651266</v>
      </c>
      <c r="H122" s="367">
        <f>H114-H119</f>
        <v>214073319</v>
      </c>
      <c r="I122" s="367">
        <f>I114-I119</f>
        <v>5382044627</v>
      </c>
      <c r="J122" s="367">
        <f>J114-J119</f>
        <v>32842200973</v>
      </c>
    </row>
    <row r="123" spans="1:12" ht="24.75" customHeight="1" thickTop="1">
      <c r="A123" s="972" t="s">
        <v>6</v>
      </c>
      <c r="B123" s="954"/>
      <c r="C123" s="954"/>
      <c r="D123" s="954"/>
      <c r="E123" s="954"/>
      <c r="F123" s="954"/>
      <c r="G123" s="954"/>
      <c r="H123" s="954"/>
      <c r="I123" s="954"/>
      <c r="J123" s="723">
        <f>J122</f>
        <v>32842200973</v>
      </c>
      <c r="L123" s="724"/>
    </row>
    <row r="124" spans="1:11" ht="19.5" customHeight="1">
      <c r="A124" s="368" t="s">
        <v>377</v>
      </c>
      <c r="B124" s="369"/>
      <c r="C124" s="369"/>
      <c r="D124" s="369"/>
      <c r="E124" s="370"/>
      <c r="F124" s="371"/>
      <c r="G124" s="370"/>
      <c r="H124" s="370"/>
      <c r="I124" s="363"/>
      <c r="J124" s="725">
        <f>J123</f>
        <v>32842200973</v>
      </c>
      <c r="K124" s="402"/>
    </row>
    <row r="125" spans="1:11" ht="19.5" customHeight="1" hidden="1">
      <c r="A125" s="271" t="s">
        <v>269</v>
      </c>
      <c r="B125" s="206" t="s">
        <v>504</v>
      </c>
      <c r="C125" s="372"/>
      <c r="D125" s="372"/>
      <c r="E125" s="372"/>
      <c r="F125" s="372"/>
      <c r="G125" s="372"/>
      <c r="H125" s="372"/>
      <c r="I125" s="373"/>
      <c r="J125" s="373"/>
      <c r="K125" s="402"/>
    </row>
    <row r="126" spans="1:11" ht="19.5" customHeight="1" hidden="1">
      <c r="A126" s="315" t="s">
        <v>333</v>
      </c>
      <c r="B126" s="315"/>
      <c r="C126" s="315"/>
      <c r="D126" s="315"/>
      <c r="E126" s="315"/>
      <c r="F126" s="315" t="s">
        <v>505</v>
      </c>
      <c r="G126" s="315"/>
      <c r="H126" s="315"/>
      <c r="I126" s="726" t="s">
        <v>506</v>
      </c>
      <c r="J126" s="726" t="s">
        <v>268</v>
      </c>
      <c r="K126" s="402"/>
    </row>
    <row r="127" spans="1:11" ht="19.5" customHeight="1" hidden="1">
      <c r="A127" s="727" t="s">
        <v>507</v>
      </c>
      <c r="B127" s="727"/>
      <c r="C127" s="91"/>
      <c r="D127" s="91"/>
      <c r="E127" s="91"/>
      <c r="F127" s="256"/>
      <c r="G127" s="256"/>
      <c r="H127" s="256"/>
      <c r="I127" s="314"/>
      <c r="J127" s="314"/>
      <c r="K127" s="402"/>
    </row>
    <row r="128" spans="1:11" ht="19.5" customHeight="1" hidden="1">
      <c r="A128" s="321" t="s">
        <v>508</v>
      </c>
      <c r="B128" s="322"/>
      <c r="C128" s="322"/>
      <c r="D128" s="322"/>
      <c r="E128" s="728"/>
      <c r="F128" s="346"/>
      <c r="G128" s="346"/>
      <c r="H128" s="346"/>
      <c r="I128" s="346"/>
      <c r="J128" s="86"/>
      <c r="K128" s="402"/>
    </row>
    <row r="129" spans="1:11" s="718" customFormat="1" ht="19.5" customHeight="1" hidden="1">
      <c r="A129" s="729" t="s">
        <v>509</v>
      </c>
      <c r="B129" s="330"/>
      <c r="C129" s="330"/>
      <c r="D129" s="330"/>
      <c r="E129" s="730"/>
      <c r="F129" s="731"/>
      <c r="G129" s="731"/>
      <c r="H129" s="731"/>
      <c r="I129" s="731"/>
      <c r="J129" s="731">
        <f aca="true" t="shared" si="0" ref="J129:J135">SUM(E129:I129)</f>
        <v>0</v>
      </c>
      <c r="K129" s="732"/>
    </row>
    <row r="130" spans="1:11" ht="19.5" customHeight="1" hidden="1">
      <c r="A130" s="325" t="s">
        <v>510</v>
      </c>
      <c r="B130" s="733"/>
      <c r="C130" s="356"/>
      <c r="D130" s="356"/>
      <c r="E130" s="734"/>
      <c r="F130" s="120"/>
      <c r="G130" s="120"/>
      <c r="H130" s="120"/>
      <c r="I130" s="120"/>
      <c r="J130" s="120">
        <f t="shared" si="0"/>
        <v>0</v>
      </c>
      <c r="K130" s="402"/>
    </row>
    <row r="131" spans="1:11" ht="19.5" customHeight="1" hidden="1">
      <c r="A131" s="325" t="s">
        <v>511</v>
      </c>
      <c r="B131" s="735"/>
      <c r="C131" s="356"/>
      <c r="D131" s="356"/>
      <c r="E131" s="736"/>
      <c r="F131" s="120"/>
      <c r="G131" s="120"/>
      <c r="H131" s="120"/>
      <c r="I131" s="120"/>
      <c r="J131" s="120">
        <f t="shared" si="0"/>
        <v>0</v>
      </c>
      <c r="K131" s="402"/>
    </row>
    <row r="132" spans="1:11" ht="19.5" customHeight="1" hidden="1">
      <c r="A132" s="325" t="s">
        <v>60</v>
      </c>
      <c r="B132" s="735"/>
      <c r="C132" s="356"/>
      <c r="D132" s="356"/>
      <c r="E132" s="736"/>
      <c r="F132" s="120"/>
      <c r="G132" s="120"/>
      <c r="H132" s="120"/>
      <c r="I132" s="120"/>
      <c r="J132" s="120"/>
      <c r="K132" s="402"/>
    </row>
    <row r="133" spans="1:11" ht="19.5" customHeight="1" hidden="1">
      <c r="A133" s="325" t="s">
        <v>512</v>
      </c>
      <c r="B133" s="735"/>
      <c r="C133" s="356"/>
      <c r="D133" s="737"/>
      <c r="E133" s="736"/>
      <c r="F133" s="120"/>
      <c r="G133" s="738"/>
      <c r="H133" s="738"/>
      <c r="I133" s="120"/>
      <c r="J133" s="120">
        <f t="shared" si="0"/>
        <v>0</v>
      </c>
      <c r="K133" s="402"/>
    </row>
    <row r="134" spans="1:11" ht="19.5" customHeight="1" hidden="1">
      <c r="A134" s="353" t="s">
        <v>513</v>
      </c>
      <c r="B134" s="739"/>
      <c r="C134" s="739"/>
      <c r="D134" s="739"/>
      <c r="E134" s="740"/>
      <c r="F134" s="113"/>
      <c r="G134" s="113"/>
      <c r="H134" s="113"/>
      <c r="I134" s="113"/>
      <c r="J134" s="741">
        <f t="shared" si="0"/>
        <v>0</v>
      </c>
      <c r="K134" s="402"/>
    </row>
    <row r="135" spans="1:11" ht="19.5" customHeight="1" hidden="1">
      <c r="A135" s="355" t="s">
        <v>514</v>
      </c>
      <c r="B135" s="742"/>
      <c r="C135" s="743"/>
      <c r="D135" s="744"/>
      <c r="E135" s="745"/>
      <c r="F135" s="287">
        <f>F128+F129+F130+F131-F133-F134</f>
        <v>0</v>
      </c>
      <c r="G135" s="746"/>
      <c r="H135" s="746"/>
      <c r="I135" s="287">
        <f>I128+I129+I130+I131-I133-I134</f>
        <v>0</v>
      </c>
      <c r="J135" s="230">
        <f t="shared" si="0"/>
        <v>0</v>
      </c>
      <c r="K135" s="402"/>
    </row>
    <row r="136" spans="1:11" ht="19.5" customHeight="1" hidden="1">
      <c r="A136" s="727" t="s">
        <v>515</v>
      </c>
      <c r="B136" s="326"/>
      <c r="C136" s="326"/>
      <c r="D136" s="326"/>
      <c r="E136" s="747"/>
      <c r="F136" s="91"/>
      <c r="G136" s="91"/>
      <c r="H136" s="91"/>
      <c r="I136" s="91"/>
      <c r="J136" s="65"/>
      <c r="K136" s="402"/>
    </row>
    <row r="137" spans="1:11" ht="19.5" customHeight="1" hidden="1">
      <c r="A137" s="321" t="s">
        <v>508</v>
      </c>
      <c r="B137" s="748"/>
      <c r="C137" s="322"/>
      <c r="D137" s="322"/>
      <c r="E137" s="749"/>
      <c r="F137" s="346"/>
      <c r="G137" s="346"/>
      <c r="H137" s="346"/>
      <c r="I137" s="346"/>
      <c r="J137" s="86"/>
      <c r="K137" s="402"/>
    </row>
    <row r="138" spans="1:11" s="718" customFormat="1" ht="19.5" customHeight="1" hidden="1">
      <c r="A138" s="729" t="s">
        <v>516</v>
      </c>
      <c r="B138" s="354"/>
      <c r="C138" s="354"/>
      <c r="D138" s="354"/>
      <c r="E138" s="750"/>
      <c r="F138" s="731"/>
      <c r="G138" s="731"/>
      <c r="H138" s="731"/>
      <c r="I138" s="731"/>
      <c r="J138" s="731">
        <f>SUM(E138:I138)</f>
        <v>0</v>
      </c>
      <c r="K138" s="732"/>
    </row>
    <row r="139" spans="1:11" ht="19.5" customHeight="1" hidden="1">
      <c r="A139" s="325" t="s">
        <v>512</v>
      </c>
      <c r="B139" s="356"/>
      <c r="C139" s="356"/>
      <c r="D139" s="356"/>
      <c r="E139" s="751"/>
      <c r="F139" s="120"/>
      <c r="G139" s="120"/>
      <c r="H139" s="120"/>
      <c r="I139" s="120"/>
      <c r="J139" s="120">
        <f>SUM(E139:I139)</f>
        <v>0</v>
      </c>
      <c r="K139" s="402"/>
    </row>
    <row r="140" spans="1:11" ht="19.5" customHeight="1" hidden="1">
      <c r="A140" s="353" t="s">
        <v>513</v>
      </c>
      <c r="B140" s="752"/>
      <c r="C140" s="752"/>
      <c r="D140" s="752"/>
      <c r="E140" s="753"/>
      <c r="F140" s="741"/>
      <c r="G140" s="741"/>
      <c r="H140" s="741"/>
      <c r="I140" s="741"/>
      <c r="J140" s="741">
        <f>SUM(E140:I140)</f>
        <v>0</v>
      </c>
      <c r="K140" s="402"/>
    </row>
    <row r="141" spans="1:11" ht="19.5" customHeight="1" hidden="1">
      <c r="A141" s="355" t="s">
        <v>514</v>
      </c>
      <c r="B141" s="754"/>
      <c r="C141" s="755"/>
      <c r="D141" s="374"/>
      <c r="E141" s="375"/>
      <c r="F141" s="287">
        <f>F137+F138-F139-F140</f>
        <v>0</v>
      </c>
      <c r="G141" s="287"/>
      <c r="H141" s="287"/>
      <c r="I141" s="287">
        <f>I137+I138-I139-I140</f>
        <v>0</v>
      </c>
      <c r="J141" s="230">
        <f>SUM(E141:I141)</f>
        <v>0</v>
      </c>
      <c r="K141" s="402"/>
    </row>
    <row r="142" spans="1:11" ht="19.5" customHeight="1" hidden="1">
      <c r="A142" s="756" t="s">
        <v>517</v>
      </c>
      <c r="B142" s="757"/>
      <c r="C142" s="758"/>
      <c r="D142" s="758"/>
      <c r="E142" s="759"/>
      <c r="F142" s="760"/>
      <c r="G142" s="760"/>
      <c r="H142" s="760"/>
      <c r="I142" s="760"/>
      <c r="J142" s="105"/>
      <c r="K142" s="402"/>
    </row>
    <row r="143" spans="1:11" ht="19.5" customHeight="1" hidden="1">
      <c r="A143" s="361" t="s">
        <v>518</v>
      </c>
      <c r="B143" s="369"/>
      <c r="C143" s="362"/>
      <c r="D143" s="362"/>
      <c r="E143" s="371"/>
      <c r="F143" s="761">
        <f>F128-F137</f>
        <v>0</v>
      </c>
      <c r="G143" s="761"/>
      <c r="H143" s="761"/>
      <c r="I143" s="761">
        <f>I128-I137</f>
        <v>0</v>
      </c>
      <c r="J143" s="762">
        <f>SUM(E143:I143)</f>
        <v>0</v>
      </c>
      <c r="K143" s="402"/>
    </row>
    <row r="144" spans="1:11" ht="36" customHeight="1" hidden="1">
      <c r="A144" s="361" t="s">
        <v>519</v>
      </c>
      <c r="B144" s="369"/>
      <c r="C144" s="362"/>
      <c r="D144" s="362"/>
      <c r="E144" s="371"/>
      <c r="F144" s="112">
        <f>F135-F141</f>
        <v>0</v>
      </c>
      <c r="G144" s="112"/>
      <c r="H144" s="112"/>
      <c r="I144" s="112">
        <f>I135-I141</f>
        <v>0</v>
      </c>
      <c r="J144" s="376">
        <f>J135-J141</f>
        <v>0</v>
      </c>
      <c r="K144" s="402"/>
    </row>
    <row r="145" spans="1:11" ht="15" customHeight="1">
      <c r="A145" s="361"/>
      <c r="B145" s="369"/>
      <c r="C145" s="362"/>
      <c r="D145" s="362"/>
      <c r="E145" s="371"/>
      <c r="F145" s="112"/>
      <c r="G145" s="112"/>
      <c r="H145" s="112"/>
      <c r="I145" s="112"/>
      <c r="J145" s="112"/>
      <c r="K145" s="402"/>
    </row>
    <row r="146" spans="1:11" ht="19.5" customHeight="1">
      <c r="A146" s="271" t="s">
        <v>332</v>
      </c>
      <c r="B146" s="377" t="s">
        <v>426</v>
      </c>
      <c r="C146" s="374"/>
      <c r="D146" s="374"/>
      <c r="E146" s="375"/>
      <c r="F146" s="287"/>
      <c r="G146" s="287"/>
      <c r="H146" s="287"/>
      <c r="I146" s="711">
        <v>39447</v>
      </c>
      <c r="J146" s="712">
        <v>39082</v>
      </c>
      <c r="K146" s="402"/>
    </row>
    <row r="147" spans="1:11" ht="18" customHeight="1">
      <c r="A147" s="368"/>
      <c r="B147" s="378" t="s">
        <v>427</v>
      </c>
      <c r="C147" s="379"/>
      <c r="D147" s="379"/>
      <c r="E147" s="379"/>
      <c r="F147" s="379"/>
      <c r="G147" s="379"/>
      <c r="H147" s="379"/>
      <c r="I147" s="363">
        <f>SUM(I148:I151)</f>
        <v>43136074051</v>
      </c>
      <c r="J147" s="363">
        <f>SUM(J148:J151)</f>
        <v>780302236</v>
      </c>
      <c r="K147" s="402"/>
    </row>
    <row r="148" spans="1:11" ht="19.5" customHeight="1">
      <c r="A148" s="361"/>
      <c r="B148" s="369"/>
      <c r="C148" s="362"/>
      <c r="D148" s="966" t="s">
        <v>520</v>
      </c>
      <c r="E148" s="910"/>
      <c r="F148" s="910"/>
      <c r="G148" s="119"/>
      <c r="H148" s="119"/>
      <c r="I148" s="119"/>
      <c r="J148" s="119">
        <v>634945000</v>
      </c>
      <c r="K148" s="402"/>
    </row>
    <row r="149" spans="1:11" ht="19.5" customHeight="1">
      <c r="A149" s="361"/>
      <c r="B149" s="369"/>
      <c r="C149" s="362"/>
      <c r="D149" s="966" t="s">
        <v>581</v>
      </c>
      <c r="E149" s="910"/>
      <c r="F149" s="910"/>
      <c r="G149" s="119"/>
      <c r="H149" s="119"/>
      <c r="I149" s="119">
        <v>11866555</v>
      </c>
      <c r="J149" s="119">
        <v>0</v>
      </c>
      <c r="K149" s="402"/>
    </row>
    <row r="150" spans="1:11" ht="19.5" customHeight="1">
      <c r="A150" s="361"/>
      <c r="B150" s="369"/>
      <c r="C150" s="362"/>
      <c r="D150" s="966" t="s">
        <v>521</v>
      </c>
      <c r="E150" s="967"/>
      <c r="F150" s="967"/>
      <c r="G150" s="967"/>
      <c r="H150" s="119"/>
      <c r="I150" s="119">
        <f>74872978+4266588252</f>
        <v>4341461230</v>
      </c>
      <c r="J150" s="119">
        <v>0</v>
      </c>
      <c r="K150" s="402"/>
    </row>
    <row r="151" spans="1:11" ht="19.5" customHeight="1" thickBot="1">
      <c r="A151" s="361"/>
      <c r="B151" s="380"/>
      <c r="C151" s="365"/>
      <c r="D151" s="968" t="s">
        <v>428</v>
      </c>
      <c r="E151" s="969"/>
      <c r="F151" s="969"/>
      <c r="G151" s="969"/>
      <c r="H151" s="376"/>
      <c r="I151" s="381">
        <v>38782746266</v>
      </c>
      <c r="J151" s="381">
        <v>145357236</v>
      </c>
      <c r="K151" s="402"/>
    </row>
    <row r="152" spans="1:11" ht="19.5" customHeight="1" thickTop="1">
      <c r="A152" s="368"/>
      <c r="B152" s="372"/>
      <c r="C152" s="372"/>
      <c r="D152" s="372"/>
      <c r="E152" s="372"/>
      <c r="F152" s="372"/>
      <c r="G152" s="372"/>
      <c r="H152" s="372"/>
      <c r="I152" s="373"/>
      <c r="J152" s="373"/>
      <c r="K152" s="402"/>
    </row>
    <row r="153" spans="1:11" ht="19.5" customHeight="1">
      <c r="A153" s="382" t="s">
        <v>430</v>
      </c>
      <c r="B153" s="377" t="s">
        <v>429</v>
      </c>
      <c r="C153" s="374"/>
      <c r="D153" s="374"/>
      <c r="E153" s="375"/>
      <c r="F153" s="287"/>
      <c r="G153" s="287"/>
      <c r="H153" s="287"/>
      <c r="I153" s="711">
        <v>39447</v>
      </c>
      <c r="J153" s="712">
        <v>39082</v>
      </c>
      <c r="K153" s="402"/>
    </row>
    <row r="154" spans="1:11" ht="19.5" customHeight="1">
      <c r="A154" s="361"/>
      <c r="B154" s="685" t="s">
        <v>522</v>
      </c>
      <c r="C154" s="686"/>
      <c r="D154" s="686"/>
      <c r="E154" s="687"/>
      <c r="F154" s="117"/>
      <c r="G154" s="117"/>
      <c r="H154" s="117"/>
      <c r="I154" s="117">
        <v>1659171659</v>
      </c>
      <c r="J154" s="117">
        <v>1740050854</v>
      </c>
      <c r="K154" s="402"/>
    </row>
    <row r="155" spans="1:11" ht="19.5" customHeight="1">
      <c r="A155" s="361"/>
      <c r="B155" s="685" t="s">
        <v>523</v>
      </c>
      <c r="C155" s="686"/>
      <c r="D155" s="686"/>
      <c r="E155" s="687"/>
      <c r="F155" s="117"/>
      <c r="G155" s="117"/>
      <c r="H155" s="117"/>
      <c r="I155" s="117">
        <v>88057769</v>
      </c>
      <c r="J155" s="117">
        <v>88057769</v>
      </c>
      <c r="K155" s="402"/>
    </row>
    <row r="156" spans="1:11" ht="24" customHeight="1" thickBot="1">
      <c r="A156" s="361"/>
      <c r="B156" s="763"/>
      <c r="C156" s="764"/>
      <c r="D156" s="281" t="s">
        <v>265</v>
      </c>
      <c r="E156" s="765"/>
      <c r="F156" s="282"/>
      <c r="G156" s="282"/>
      <c r="H156" s="282"/>
      <c r="I156" s="766">
        <f>I155+I154</f>
        <v>1747229428</v>
      </c>
      <c r="J156" s="766">
        <f>SUM(J154:J155)</f>
        <v>1828108623</v>
      </c>
      <c r="K156" s="402"/>
    </row>
    <row r="157" spans="1:11" ht="9.75" customHeight="1" thickTop="1">
      <c r="A157" s="361"/>
      <c r="B157" s="369"/>
      <c r="C157" s="362"/>
      <c r="D157" s="9"/>
      <c r="E157" s="371"/>
      <c r="F157" s="112"/>
      <c r="G157" s="112"/>
      <c r="H157" s="112"/>
      <c r="I157" s="62"/>
      <c r="J157" s="62"/>
      <c r="K157" s="402"/>
    </row>
    <row r="158" spans="1:11" ht="36" customHeight="1">
      <c r="A158" s="361"/>
      <c r="B158" s="962" t="s">
        <v>524</v>
      </c>
      <c r="C158" s="963"/>
      <c r="D158" s="963"/>
      <c r="E158" s="963"/>
      <c r="F158" s="963"/>
      <c r="G158" s="963"/>
      <c r="H158" s="963"/>
      <c r="I158" s="963"/>
      <c r="J158" s="963"/>
      <c r="K158" s="402"/>
    </row>
    <row r="159" spans="1:11" ht="15" customHeight="1">
      <c r="A159" s="361"/>
      <c r="B159" s="369"/>
      <c r="C159" s="362"/>
      <c r="D159" s="9"/>
      <c r="E159" s="371"/>
      <c r="F159" s="112"/>
      <c r="G159" s="112"/>
      <c r="H159" s="112"/>
      <c r="I159" s="62"/>
      <c r="J159" s="62"/>
      <c r="K159" s="402"/>
    </row>
    <row r="160" spans="1:11" ht="21.75" customHeight="1">
      <c r="A160" s="10" t="s">
        <v>525</v>
      </c>
      <c r="B160" s="383" t="s">
        <v>526</v>
      </c>
      <c r="C160" s="273"/>
      <c r="D160" s="273"/>
      <c r="E160" s="273"/>
      <c r="F160" s="384"/>
      <c r="G160" s="385"/>
      <c r="H160" s="385"/>
      <c r="I160" s="711">
        <v>39447</v>
      </c>
      <c r="J160" s="712">
        <v>39082</v>
      </c>
      <c r="K160" s="402"/>
    </row>
    <row r="161" spans="1:11" ht="21.75" customHeight="1">
      <c r="A161" s="394"/>
      <c r="B161" s="767" t="s">
        <v>606</v>
      </c>
      <c r="C161" s="349"/>
      <c r="D161" s="768"/>
      <c r="E161" s="768"/>
      <c r="F161" s="769"/>
      <c r="G161" s="770"/>
      <c r="H161" s="770"/>
      <c r="I161" s="771">
        <v>6183699200</v>
      </c>
      <c r="J161" s="771">
        <v>7030823000</v>
      </c>
      <c r="K161" s="402"/>
    </row>
    <row r="162" spans="1:11" ht="21.75" customHeight="1">
      <c r="A162" s="394"/>
      <c r="B162" s="767" t="s">
        <v>605</v>
      </c>
      <c r="C162" s="772"/>
      <c r="D162" s="773"/>
      <c r="E162" s="773"/>
      <c r="F162" s="774"/>
      <c r="G162" s="775"/>
      <c r="H162" s="775"/>
      <c r="I162" s="776">
        <v>3934766400</v>
      </c>
      <c r="J162" s="776">
        <v>0</v>
      </c>
      <c r="K162" s="402"/>
    </row>
    <row r="163" spans="1:12" ht="21" customHeight="1" thickBot="1">
      <c r="A163" s="394"/>
      <c r="B163" s="484"/>
      <c r="C163" s="484"/>
      <c r="D163" s="779" t="s">
        <v>265</v>
      </c>
      <c r="E163" s="484"/>
      <c r="F163" s="485"/>
      <c r="G163" s="780"/>
      <c r="H163" s="903">
        <f>SUM(I161:I162)</f>
        <v>10118465600</v>
      </c>
      <c r="I163" s="903" t="e">
        <f>#REF!</f>
        <v>#REF!</v>
      </c>
      <c r="J163" s="781">
        <f>SUM(J161:J162)</f>
        <v>7030823000</v>
      </c>
      <c r="K163" s="402"/>
      <c r="L163" s="261"/>
    </row>
    <row r="164" spans="1:11" ht="6" customHeight="1" thickTop="1">
      <c r="A164" s="361"/>
      <c r="B164" s="369"/>
      <c r="C164" s="362"/>
      <c r="D164" s="9"/>
      <c r="E164" s="371"/>
      <c r="F164" s="112"/>
      <c r="G164" s="112"/>
      <c r="H164" s="112"/>
      <c r="I164" s="62"/>
      <c r="J164" s="62"/>
      <c r="K164" s="402"/>
    </row>
    <row r="165" spans="1:11" ht="19.5" customHeight="1">
      <c r="A165" s="361"/>
      <c r="B165" s="369"/>
      <c r="C165" s="964" t="s">
        <v>608</v>
      </c>
      <c r="D165" s="965"/>
      <c r="E165" s="965"/>
      <c r="F165" s="965"/>
      <c r="G165" s="965"/>
      <c r="H165" s="965"/>
      <c r="I165" s="965"/>
      <c r="J165" s="965"/>
      <c r="K165" s="965"/>
    </row>
    <row r="166" spans="1:11" ht="19.5" customHeight="1">
      <c r="A166" s="361"/>
      <c r="B166" s="369"/>
      <c r="C166" s="782"/>
      <c r="D166" s="961" t="s">
        <v>607</v>
      </c>
      <c r="E166" s="961"/>
      <c r="F166" s="961"/>
      <c r="G166" s="961"/>
      <c r="H166" s="961"/>
      <c r="I166" s="961"/>
      <c r="J166" s="961"/>
      <c r="K166" s="783"/>
    </row>
    <row r="167" spans="1:11" ht="19.5" customHeight="1">
      <c r="A167" s="361"/>
      <c r="B167" s="369"/>
      <c r="C167" s="782"/>
      <c r="D167" s="960" t="s">
        <v>527</v>
      </c>
      <c r="E167" s="960"/>
      <c r="F167" s="960"/>
      <c r="G167" s="960"/>
      <c r="H167" s="960"/>
      <c r="I167" s="960"/>
      <c r="J167" s="784"/>
      <c r="K167" s="783"/>
    </row>
    <row r="168" spans="1:11" ht="19.5" customHeight="1">
      <c r="A168" s="361"/>
      <c r="B168" s="369"/>
      <c r="C168" s="782"/>
      <c r="D168" s="961" t="s">
        <v>528</v>
      </c>
      <c r="E168" s="961"/>
      <c r="F168" s="961"/>
      <c r="G168" s="961"/>
      <c r="H168" s="961"/>
      <c r="I168" s="961"/>
      <c r="J168" s="961"/>
      <c r="K168" s="783"/>
    </row>
    <row r="169" spans="1:11" ht="19.5" customHeight="1">
      <c r="A169" s="361"/>
      <c r="B169" s="369"/>
      <c r="C169" s="256"/>
      <c r="D169" s="961" t="s">
        <v>529</v>
      </c>
      <c r="E169" s="961"/>
      <c r="F169" s="961"/>
      <c r="G169" s="961"/>
      <c r="H169" s="961"/>
      <c r="I169" s="961"/>
      <c r="J169" s="961"/>
      <c r="K169" s="199"/>
    </row>
    <row r="170" spans="1:11" ht="44.25" customHeight="1">
      <c r="A170" s="361"/>
      <c r="B170" s="369"/>
      <c r="C170" s="256"/>
      <c r="D170" s="961" t="s">
        <v>530</v>
      </c>
      <c r="E170" s="961"/>
      <c r="F170" s="961"/>
      <c r="G170" s="961"/>
      <c r="H170" s="961"/>
      <c r="I170" s="961"/>
      <c r="J170" s="961"/>
      <c r="K170" s="199"/>
    </row>
    <row r="171" spans="1:12" ht="44.25" customHeight="1">
      <c r="A171" s="361"/>
      <c r="B171" s="369"/>
      <c r="C171" s="256"/>
      <c r="D171" s="960" t="s">
        <v>609</v>
      </c>
      <c r="E171" s="960"/>
      <c r="F171" s="960"/>
      <c r="G171" s="960"/>
      <c r="H171" s="960"/>
      <c r="I171" s="960"/>
      <c r="J171" s="960"/>
      <c r="K171" s="783"/>
      <c r="L171" s="783"/>
    </row>
    <row r="172" spans="1:11" ht="19.5" customHeight="1">
      <c r="A172" s="271" t="s">
        <v>334</v>
      </c>
      <c r="B172" s="383" t="s">
        <v>253</v>
      </c>
      <c r="C172" s="273"/>
      <c r="D172" s="273"/>
      <c r="E172" s="273"/>
      <c r="F172" s="384"/>
      <c r="G172" s="385"/>
      <c r="H172" s="385"/>
      <c r="I172" s="711">
        <v>39447</v>
      </c>
      <c r="J172" s="712">
        <v>39082</v>
      </c>
      <c r="K172" s="402"/>
    </row>
    <row r="173" spans="1:11" ht="19.5" customHeight="1">
      <c r="A173" s="271"/>
      <c r="B173" s="386" t="s">
        <v>610</v>
      </c>
      <c r="C173" s="387"/>
      <c r="D173" s="387"/>
      <c r="E173" s="387"/>
      <c r="F173" s="388"/>
      <c r="G173" s="389"/>
      <c r="H173" s="389"/>
      <c r="I173" s="390"/>
      <c r="J173" s="363"/>
      <c r="K173" s="402"/>
    </row>
    <row r="174" spans="1:11" ht="19.5" customHeight="1">
      <c r="A174" s="271"/>
      <c r="B174" s="391" t="s">
        <v>61</v>
      </c>
      <c r="C174" s="275"/>
      <c r="D174" s="275"/>
      <c r="E174" s="275"/>
      <c r="F174" s="392"/>
      <c r="G174" s="393"/>
      <c r="I174" s="261">
        <f>25507672+57564936</f>
        <v>83072608</v>
      </c>
      <c r="J174" s="278">
        <v>465136692</v>
      </c>
      <c r="K174" s="402"/>
    </row>
    <row r="175" spans="1:11" ht="21.75" customHeight="1">
      <c r="A175" s="394"/>
      <c r="B175" s="391" t="s">
        <v>594</v>
      </c>
      <c r="D175" s="275"/>
      <c r="E175" s="392"/>
      <c r="F175" s="392"/>
      <c r="G175" s="395"/>
      <c r="H175" s="395"/>
      <c r="I175" s="91"/>
      <c r="J175" s="91">
        <v>4562684</v>
      </c>
      <c r="K175" s="91"/>
    </row>
    <row r="176" spans="1:11" ht="19.5" customHeight="1" hidden="1">
      <c r="A176" s="394"/>
      <c r="B176" s="391" t="s">
        <v>61</v>
      </c>
      <c r="D176" s="275"/>
      <c r="E176" s="392"/>
      <c r="F176" s="392"/>
      <c r="G176" s="395"/>
      <c r="H176" s="395"/>
      <c r="I176" s="261">
        <v>-28150205</v>
      </c>
      <c r="J176" s="261">
        <v>241991151</v>
      </c>
      <c r="K176" s="402"/>
    </row>
    <row r="177" spans="1:11" ht="19.5" customHeight="1" hidden="1">
      <c r="A177" s="394"/>
      <c r="B177" s="391" t="s">
        <v>179</v>
      </c>
      <c r="D177" s="275"/>
      <c r="E177" s="392"/>
      <c r="F177" s="392"/>
      <c r="G177" s="395"/>
      <c r="H177" s="395"/>
      <c r="J177" s="261"/>
      <c r="K177" s="402"/>
    </row>
    <row r="178" spans="1:11" ht="19.5" customHeight="1" hidden="1">
      <c r="A178" s="394"/>
      <c r="B178" s="391" t="s">
        <v>62</v>
      </c>
      <c r="D178" s="275"/>
      <c r="E178" s="392"/>
      <c r="F178" s="392"/>
      <c r="G178" s="395"/>
      <c r="H178" s="395"/>
      <c r="J178" s="261"/>
      <c r="K178" s="402"/>
    </row>
    <row r="179" spans="1:11" ht="19.5" customHeight="1" hidden="1">
      <c r="A179" s="394"/>
      <c r="B179" s="391" t="s">
        <v>63</v>
      </c>
      <c r="D179" s="275"/>
      <c r="E179" s="392"/>
      <c r="F179" s="392"/>
      <c r="G179" s="395"/>
      <c r="H179" s="395"/>
      <c r="J179" s="261"/>
      <c r="K179" s="402"/>
    </row>
    <row r="180" spans="1:11" s="294" customFormat="1" ht="19.5" customHeight="1" hidden="1">
      <c r="A180" s="396"/>
      <c r="B180" s="397" t="s">
        <v>374</v>
      </c>
      <c r="D180" s="295"/>
      <c r="E180" s="398"/>
      <c r="F180" s="398"/>
      <c r="G180" s="399"/>
      <c r="H180" s="399"/>
      <c r="I180" s="302">
        <v>41037607</v>
      </c>
      <c r="J180" s="302">
        <v>15679426</v>
      </c>
      <c r="K180" s="409"/>
    </row>
    <row r="181" spans="1:12" ht="21" customHeight="1" thickBot="1">
      <c r="A181" s="394"/>
      <c r="B181" s="309"/>
      <c r="C181" s="309"/>
      <c r="D181" s="281" t="s">
        <v>265</v>
      </c>
      <c r="E181" s="309"/>
      <c r="F181" s="280"/>
      <c r="G181" s="313"/>
      <c r="H181" s="957">
        <f>I174+I175</f>
        <v>83072608</v>
      </c>
      <c r="I181" s="957">
        <f>J174+I175</f>
        <v>465136692</v>
      </c>
      <c r="J181" s="411">
        <f>SUM(J173:J175)</f>
        <v>469699376</v>
      </c>
      <c r="K181" s="402"/>
      <c r="L181" s="261"/>
    </row>
    <row r="182" spans="1:11" ht="17.25" customHeight="1" hidden="1">
      <c r="A182" s="271" t="s">
        <v>531</v>
      </c>
      <c r="B182" s="383" t="s">
        <v>532</v>
      </c>
      <c r="C182" s="273"/>
      <c r="D182" s="273"/>
      <c r="E182" s="273"/>
      <c r="F182" s="384"/>
      <c r="G182" s="385"/>
      <c r="H182" s="385"/>
      <c r="I182" s="711" t="s">
        <v>75</v>
      </c>
      <c r="J182" s="711">
        <v>38718</v>
      </c>
      <c r="K182" s="402"/>
    </row>
    <row r="183" spans="1:11" ht="21.75" customHeight="1" hidden="1">
      <c r="A183" s="394"/>
      <c r="B183" s="391" t="s">
        <v>533</v>
      </c>
      <c r="D183" s="275"/>
      <c r="E183" s="275"/>
      <c r="F183" s="392"/>
      <c r="G183" s="395"/>
      <c r="H183" s="395"/>
      <c r="I183" s="261">
        <v>308220004</v>
      </c>
      <c r="J183" s="261">
        <v>209820568</v>
      </c>
      <c r="K183" s="402"/>
    </row>
    <row r="184" spans="1:11" ht="18.75" customHeight="1" hidden="1">
      <c r="A184" s="394"/>
      <c r="B184" s="309"/>
      <c r="C184" s="309"/>
      <c r="D184" s="281" t="s">
        <v>265</v>
      </c>
      <c r="E184" s="309"/>
      <c r="F184" s="280"/>
      <c r="G184" s="313"/>
      <c r="H184" s="313"/>
      <c r="I184" s="311">
        <f>SUM(I183:I183)</f>
        <v>308220004</v>
      </c>
      <c r="J184" s="311">
        <f>SUM(J183:J183)</f>
        <v>209820568</v>
      </c>
      <c r="K184" s="402" t="e">
        <f>I184-'[5]CDKT'!#REF!-'[5]CDKT'!#REF!</f>
        <v>#REF!</v>
      </c>
    </row>
    <row r="185" spans="1:11" ht="15" customHeight="1" thickTop="1">
      <c r="A185" s="394"/>
      <c r="B185" s="785"/>
      <c r="C185" s="786"/>
      <c r="D185" s="786"/>
      <c r="E185" s="786"/>
      <c r="F185" s="786"/>
      <c r="G185" s="786"/>
      <c r="H185" s="786"/>
      <c r="I185" s="786"/>
      <c r="J185" s="786"/>
      <c r="K185" s="402"/>
    </row>
    <row r="186" spans="1:11" ht="21" customHeight="1">
      <c r="A186" s="271" t="s">
        <v>118</v>
      </c>
      <c r="B186" s="383" t="s">
        <v>346</v>
      </c>
      <c r="C186" s="273"/>
      <c r="D186" s="273"/>
      <c r="E186" s="273"/>
      <c r="F186" s="384"/>
      <c r="G186" s="385"/>
      <c r="H186" s="385"/>
      <c r="I186" s="711">
        <v>39447</v>
      </c>
      <c r="J186" s="712">
        <v>39082</v>
      </c>
      <c r="K186" s="402"/>
    </row>
    <row r="187" spans="1:11" ht="3.75" customHeight="1">
      <c r="A187" s="271"/>
      <c r="B187" s="400"/>
      <c r="C187" s="275"/>
      <c r="D187" s="275"/>
      <c r="E187" s="275"/>
      <c r="F187" s="392"/>
      <c r="G187" s="395"/>
      <c r="H187" s="395"/>
      <c r="I187" s="393"/>
      <c r="J187" s="393"/>
      <c r="K187" s="402"/>
    </row>
    <row r="188" spans="1:11" ht="27" customHeight="1" hidden="1">
      <c r="A188" s="271"/>
      <c r="B188" s="401" t="s">
        <v>189</v>
      </c>
      <c r="C188" s="275"/>
      <c r="D188" s="275"/>
      <c r="E188" s="275"/>
      <c r="F188" s="392"/>
      <c r="G188" s="395"/>
      <c r="H188" s="395"/>
      <c r="I188" s="402"/>
      <c r="J188" s="112"/>
      <c r="K188" s="402"/>
    </row>
    <row r="189" spans="1:11" s="294" customFormat="1" ht="27" customHeight="1" hidden="1">
      <c r="A189" s="396"/>
      <c r="B189" s="397" t="s">
        <v>255</v>
      </c>
      <c r="C189" s="403"/>
      <c r="D189" s="295"/>
      <c r="E189" s="295"/>
      <c r="F189" s="398"/>
      <c r="G189" s="399"/>
      <c r="H189" s="399"/>
      <c r="I189" s="404"/>
      <c r="J189" s="404"/>
      <c r="K189" s="404"/>
    </row>
    <row r="190" spans="1:11" s="294" customFormat="1" ht="27" customHeight="1" hidden="1">
      <c r="A190" s="396"/>
      <c r="B190" s="397" t="s">
        <v>254</v>
      </c>
      <c r="C190" s="403"/>
      <c r="D190" s="295"/>
      <c r="E190" s="295"/>
      <c r="F190" s="398"/>
      <c r="G190" s="399"/>
      <c r="H190" s="399"/>
      <c r="I190" s="404"/>
      <c r="J190" s="404"/>
      <c r="K190" s="409"/>
    </row>
    <row r="191" spans="1:11" s="294" customFormat="1" ht="18" customHeight="1">
      <c r="A191" s="396"/>
      <c r="B191" s="391" t="s">
        <v>189</v>
      </c>
      <c r="C191" s="403"/>
      <c r="D191" s="295"/>
      <c r="E191" s="295"/>
      <c r="F191" s="398"/>
      <c r="G191" s="399"/>
      <c r="H191" s="399"/>
      <c r="I191" s="404">
        <f>13103190+21175901</f>
        <v>34279091</v>
      </c>
      <c r="J191" s="404">
        <v>28679298</v>
      </c>
      <c r="K191" s="409"/>
    </row>
    <row r="192" spans="1:11" s="294" customFormat="1" ht="18" customHeight="1">
      <c r="A192" s="396"/>
      <c r="B192" s="391" t="s">
        <v>432</v>
      </c>
      <c r="C192" s="403"/>
      <c r="D192" s="295"/>
      <c r="E192" s="295"/>
      <c r="F192" s="398"/>
      <c r="G192" s="399"/>
      <c r="H192" s="399"/>
      <c r="I192" s="404">
        <f>49146961+61420899</f>
        <v>110567860</v>
      </c>
      <c r="J192" s="404">
        <v>67198955</v>
      </c>
      <c r="K192" s="409"/>
    </row>
    <row r="193" spans="1:11" ht="19.5" customHeight="1">
      <c r="A193" s="394"/>
      <c r="B193" s="391" t="s">
        <v>431</v>
      </c>
      <c r="C193" s="256"/>
      <c r="D193" s="275"/>
      <c r="E193" s="275"/>
      <c r="F193" s="392"/>
      <c r="G193" s="395"/>
      <c r="H193" s="395"/>
      <c r="I193" s="314">
        <v>50000</v>
      </c>
      <c r="J193" s="314">
        <v>2233287763</v>
      </c>
      <c r="K193" s="402"/>
    </row>
    <row r="194" spans="1:11" ht="19.5" customHeight="1">
      <c r="A194" s="394"/>
      <c r="B194" s="391" t="s">
        <v>23</v>
      </c>
      <c r="D194" s="405"/>
      <c r="E194" s="406"/>
      <c r="F194" s="407"/>
      <c r="G194" s="408"/>
      <c r="H194" s="408"/>
      <c r="I194" s="261">
        <v>53270000</v>
      </c>
      <c r="J194" s="261">
        <v>50750000</v>
      </c>
      <c r="K194" s="402"/>
    </row>
    <row r="195" spans="1:12" ht="19.5" customHeight="1">
      <c r="A195" s="394"/>
      <c r="B195" s="958" t="s">
        <v>24</v>
      </c>
      <c r="C195" s="958"/>
      <c r="D195" s="958"/>
      <c r="E195" s="958"/>
      <c r="F195" s="958"/>
      <c r="G195" s="408"/>
      <c r="H195" s="408"/>
      <c r="I195" s="261">
        <v>600000</v>
      </c>
      <c r="J195" s="261">
        <v>600000</v>
      </c>
      <c r="K195" s="959"/>
      <c r="L195" s="959"/>
    </row>
    <row r="196" spans="1:11" ht="19.5" customHeight="1">
      <c r="A196" s="394"/>
      <c r="B196" s="391" t="s">
        <v>433</v>
      </c>
      <c r="D196" s="405"/>
      <c r="E196" s="406"/>
      <c r="F196" s="407"/>
      <c r="G196" s="408"/>
      <c r="H196" s="408"/>
      <c r="J196" s="409"/>
      <c r="K196" s="402"/>
    </row>
    <row r="197" spans="1:11" ht="19.5" customHeight="1">
      <c r="A197" s="394"/>
      <c r="B197" s="391" t="s">
        <v>434</v>
      </c>
      <c r="D197" s="405"/>
      <c r="E197" s="406"/>
      <c r="F197" s="407"/>
      <c r="G197" s="408"/>
      <c r="H197" s="408"/>
      <c r="I197" s="261">
        <v>296720000</v>
      </c>
      <c r="J197" s="409"/>
      <c r="K197" s="402"/>
    </row>
    <row r="198" spans="1:12" ht="21" customHeight="1" thickBot="1">
      <c r="A198" s="394"/>
      <c r="B198" s="309"/>
      <c r="C198" s="309"/>
      <c r="D198" s="281" t="s">
        <v>265</v>
      </c>
      <c r="E198" s="309"/>
      <c r="F198" s="280"/>
      <c r="G198" s="313"/>
      <c r="H198" s="957">
        <f>I191+I192+I193+I194+I195+I196+I197</f>
        <v>495486951</v>
      </c>
      <c r="I198" s="957"/>
      <c r="J198" s="411">
        <f>SUM(J191:J197)</f>
        <v>2380516016</v>
      </c>
      <c r="K198" s="112"/>
      <c r="L198" s="261"/>
    </row>
    <row r="199" spans="1:11" ht="15" customHeight="1" thickTop="1">
      <c r="A199" s="394"/>
      <c r="C199" s="275"/>
      <c r="D199" s="275"/>
      <c r="E199" s="275"/>
      <c r="F199" s="392"/>
      <c r="G199" s="395"/>
      <c r="H199" s="395"/>
      <c r="J199" s="261"/>
      <c r="K199" s="402"/>
    </row>
    <row r="200" spans="1:11" ht="15" customHeight="1">
      <c r="A200" s="394"/>
      <c r="C200" s="275"/>
      <c r="D200" s="275"/>
      <c r="E200" s="275"/>
      <c r="F200" s="392"/>
      <c r="G200" s="395"/>
      <c r="H200" s="395"/>
      <c r="J200" s="261"/>
      <c r="K200" s="402"/>
    </row>
    <row r="201" spans="1:11" ht="21.75" customHeight="1">
      <c r="A201" s="10" t="s">
        <v>534</v>
      </c>
      <c r="B201" s="400" t="s">
        <v>535</v>
      </c>
      <c r="C201" s="275"/>
      <c r="D201" s="275"/>
      <c r="E201" s="275"/>
      <c r="F201" s="392"/>
      <c r="G201" s="395"/>
      <c r="H201" s="395"/>
      <c r="I201" s="393">
        <v>39447</v>
      </c>
      <c r="J201" s="548">
        <v>39082</v>
      </c>
      <c r="K201" s="402"/>
    </row>
    <row r="202" spans="1:11" ht="21.75" customHeight="1">
      <c r="A202" s="394"/>
      <c r="B202" s="322" t="s">
        <v>536</v>
      </c>
      <c r="C202" s="787"/>
      <c r="D202" s="787"/>
      <c r="E202" s="787"/>
      <c r="F202" s="788"/>
      <c r="G202" s="789"/>
      <c r="H202" s="789"/>
      <c r="I202" s="790">
        <f>SUM(I203:I204)</f>
        <v>8793363779</v>
      </c>
      <c r="J202" s="791">
        <v>8361102173</v>
      </c>
      <c r="K202" s="402"/>
    </row>
    <row r="203" spans="1:11" ht="21.75" customHeight="1">
      <c r="A203" s="394"/>
      <c r="B203" s="894" t="s">
        <v>611</v>
      </c>
      <c r="C203" s="895"/>
      <c r="D203" s="896"/>
      <c r="E203" s="896"/>
      <c r="F203" s="897"/>
      <c r="G203" s="850"/>
      <c r="H203" s="850"/>
      <c r="I203" s="261">
        <v>632000000</v>
      </c>
      <c r="J203" s="898">
        <v>8361102173</v>
      </c>
      <c r="K203" s="402"/>
    </row>
    <row r="204" spans="1:11" ht="21.75" customHeight="1">
      <c r="A204" s="394"/>
      <c r="B204" s="894" t="s">
        <v>612</v>
      </c>
      <c r="C204" s="895"/>
      <c r="D204" s="896"/>
      <c r="E204" s="896"/>
      <c r="F204" s="897"/>
      <c r="G204" s="777"/>
      <c r="H204" s="777"/>
      <c r="I204" s="899">
        <v>8161363779</v>
      </c>
      <c r="J204" s="778"/>
      <c r="K204" s="402"/>
    </row>
    <row r="205" spans="1:12" ht="21" customHeight="1" thickBot="1">
      <c r="A205" s="394"/>
      <c r="B205" s="484"/>
      <c r="C205" s="484"/>
      <c r="D205" s="779" t="s">
        <v>265</v>
      </c>
      <c r="E205" s="484"/>
      <c r="F205" s="485"/>
      <c r="G205" s="780"/>
      <c r="H205" s="903">
        <f>I202</f>
        <v>8793363779</v>
      </c>
      <c r="I205" s="903">
        <f>I202</f>
        <v>8793363779</v>
      </c>
      <c r="J205" s="781">
        <f>J202</f>
        <v>8361102173</v>
      </c>
      <c r="K205" s="402"/>
      <c r="L205" s="261"/>
    </row>
    <row r="206" spans="1:12" s="792" customFormat="1" ht="24" customHeight="1" thickTop="1">
      <c r="A206" s="394"/>
      <c r="B206" s="904" t="s">
        <v>537</v>
      </c>
      <c r="C206" s="954"/>
      <c r="D206" s="954"/>
      <c r="E206" s="954"/>
      <c r="F206" s="954"/>
      <c r="G206" s="954"/>
      <c r="H206" s="954"/>
      <c r="I206" s="954"/>
      <c r="J206" s="954"/>
      <c r="K206" s="402"/>
      <c r="L206" s="199"/>
    </row>
    <row r="207" spans="1:12" s="792" customFormat="1" ht="18" customHeight="1">
      <c r="A207" s="394"/>
      <c r="B207" s="256"/>
      <c r="C207" s="275"/>
      <c r="D207" s="955" t="s">
        <v>538</v>
      </c>
      <c r="E207" s="956"/>
      <c r="F207" s="956"/>
      <c r="G207" s="956"/>
      <c r="H207" s="956"/>
      <c r="I207" s="956"/>
      <c r="J207" s="956"/>
      <c r="K207" s="402"/>
      <c r="L207" s="199"/>
    </row>
    <row r="208" spans="1:12" s="792" customFormat="1" ht="36" customHeight="1">
      <c r="A208" s="394"/>
      <c r="B208" s="256"/>
      <c r="C208" s="275"/>
      <c r="D208" s="955" t="s">
        <v>539</v>
      </c>
      <c r="E208" s="956"/>
      <c r="F208" s="956"/>
      <c r="G208" s="956"/>
      <c r="H208" s="956"/>
      <c r="I208" s="956"/>
      <c r="J208" s="956"/>
      <c r="K208" s="402"/>
      <c r="L208" s="199"/>
    </row>
    <row r="209" spans="1:12" s="792" customFormat="1" ht="13.5" customHeight="1">
      <c r="A209" s="394"/>
      <c r="B209" s="256"/>
      <c r="C209" s="275"/>
      <c r="D209" s="793"/>
      <c r="E209" s="681"/>
      <c r="F209" s="681"/>
      <c r="G209" s="681"/>
      <c r="H209" s="681"/>
      <c r="I209" s="681"/>
      <c r="J209" s="681"/>
      <c r="K209" s="402"/>
      <c r="L209" s="199"/>
    </row>
    <row r="210" spans="1:11" s="294" customFormat="1" ht="19.5" customHeight="1">
      <c r="A210" s="285" t="s">
        <v>256</v>
      </c>
      <c r="B210" s="412" t="s">
        <v>64</v>
      </c>
      <c r="C210" s="295"/>
      <c r="D210" s="295"/>
      <c r="E210" s="295"/>
      <c r="F210" s="413"/>
      <c r="G210" s="399"/>
      <c r="H210" s="399"/>
      <c r="I210" s="302"/>
      <c r="J210" s="302"/>
      <c r="K210" s="409"/>
    </row>
    <row r="211" spans="1:11" s="294" customFormat="1" ht="21.75" customHeight="1">
      <c r="A211" s="414" t="s">
        <v>352</v>
      </c>
      <c r="B211" s="415" t="s">
        <v>379</v>
      </c>
      <c r="D211" s="295"/>
      <c r="E211" s="295"/>
      <c r="F211" s="413"/>
      <c r="G211" s="399"/>
      <c r="H211" s="399"/>
      <c r="I211" s="302"/>
      <c r="J211" s="302"/>
      <c r="K211" s="409"/>
    </row>
    <row r="212" spans="1:13" s="294" customFormat="1" ht="49.5" customHeight="1">
      <c r="A212" s="911" t="s">
        <v>128</v>
      </c>
      <c r="B212" s="911"/>
      <c r="C212" s="911"/>
      <c r="D212" s="911"/>
      <c r="E212" s="794"/>
      <c r="F212" s="416" t="s">
        <v>540</v>
      </c>
      <c r="G212" s="416" t="s">
        <v>541</v>
      </c>
      <c r="H212" s="416" t="s">
        <v>542</v>
      </c>
      <c r="I212" s="416" t="s">
        <v>132</v>
      </c>
      <c r="J212" s="416" t="s">
        <v>383</v>
      </c>
      <c r="K212" s="795"/>
      <c r="M212" s="409"/>
    </row>
    <row r="213" spans="1:11" s="294" customFormat="1" ht="21" customHeight="1">
      <c r="A213" s="796" t="s">
        <v>543</v>
      </c>
      <c r="B213" s="797"/>
      <c r="C213" s="798"/>
      <c r="D213" s="798"/>
      <c r="E213" s="799"/>
      <c r="F213" s="800">
        <v>30000000000</v>
      </c>
      <c r="G213" s="800">
        <v>11955733050</v>
      </c>
      <c r="H213" s="800">
        <v>5287848558</v>
      </c>
      <c r="I213" s="801">
        <v>1695000000</v>
      </c>
      <c r="J213" s="801">
        <v>7059744461</v>
      </c>
      <c r="K213" s="409"/>
    </row>
    <row r="214" spans="1:11" s="294" customFormat="1" ht="21.75" customHeight="1" hidden="1">
      <c r="A214" s="417" t="s">
        <v>544</v>
      </c>
      <c r="C214" s="295"/>
      <c r="D214" s="295"/>
      <c r="E214" s="802"/>
      <c r="F214" s="803"/>
      <c r="G214" s="803"/>
      <c r="H214" s="803"/>
      <c r="I214" s="804"/>
      <c r="J214" s="804"/>
      <c r="K214" s="409"/>
    </row>
    <row r="215" spans="1:11" s="294" customFormat="1" ht="18" customHeight="1">
      <c r="A215" s="417" t="s">
        <v>545</v>
      </c>
      <c r="B215" s="420"/>
      <c r="C215" s="420"/>
      <c r="D215" s="420"/>
      <c r="E215" s="420"/>
      <c r="F215" s="418"/>
      <c r="G215" s="418"/>
      <c r="H215" s="418"/>
      <c r="I215" s="421"/>
      <c r="J215" s="421">
        <f>KQKDM!D22</f>
        <v>3285306386</v>
      </c>
      <c r="K215" s="409"/>
    </row>
    <row r="216" spans="1:11" s="294" customFormat="1" ht="18" customHeight="1">
      <c r="A216" s="417" t="s">
        <v>546</v>
      </c>
      <c r="B216" s="295"/>
      <c r="C216" s="295"/>
      <c r="D216" s="403"/>
      <c r="E216" s="419"/>
      <c r="F216" s="418"/>
      <c r="H216" s="418"/>
      <c r="I216" s="421"/>
      <c r="J216" s="805">
        <f>-H216-I216</f>
        <v>0</v>
      </c>
      <c r="K216" s="409"/>
    </row>
    <row r="217" spans="1:11" s="294" customFormat="1" ht="18" customHeight="1">
      <c r="A217" s="417" t="s">
        <v>482</v>
      </c>
      <c r="B217" s="295"/>
      <c r="C217" s="295"/>
      <c r="D217" s="403"/>
      <c r="E217" s="419"/>
      <c r="F217" s="418"/>
      <c r="G217" s="418"/>
      <c r="H217" s="418"/>
      <c r="I217" s="421"/>
      <c r="J217" s="421">
        <v>337500000</v>
      </c>
      <c r="K217" s="409"/>
    </row>
    <row r="218" spans="1:11" s="294" customFormat="1" ht="18" customHeight="1">
      <c r="A218" s="417" t="s">
        <v>574</v>
      </c>
      <c r="B218" s="295"/>
      <c r="C218" s="295"/>
      <c r="D218" s="403"/>
      <c r="E218" s="419"/>
      <c r="F218" s="418"/>
      <c r="G218" s="418"/>
      <c r="H218" s="418"/>
      <c r="I218" s="421"/>
      <c r="J218" s="421"/>
      <c r="K218" s="409"/>
    </row>
    <row r="219" spans="1:12" s="294" customFormat="1" ht="21" customHeight="1" thickBot="1">
      <c r="A219" s="806" t="s">
        <v>547</v>
      </c>
      <c r="B219" s="422"/>
      <c r="C219" s="422"/>
      <c r="D219" s="422"/>
      <c r="E219" s="423"/>
      <c r="F219" s="424">
        <v>30000000000</v>
      </c>
      <c r="G219" s="424">
        <v>11955733050</v>
      </c>
      <c r="H219" s="424">
        <f>SUM(H213:H218)</f>
        <v>5287848558</v>
      </c>
      <c r="I219" s="424">
        <f>SUM(I213:I218)</f>
        <v>1695000000</v>
      </c>
      <c r="J219" s="424">
        <f>J213+J215-J217</f>
        <v>10007550847</v>
      </c>
      <c r="K219" s="409"/>
      <c r="L219" s="409"/>
    </row>
    <row r="220" spans="1:12" s="428" customFormat="1" ht="42" customHeight="1" thickTop="1">
      <c r="A220" s="912" t="s">
        <v>548</v>
      </c>
      <c r="B220" s="913"/>
      <c r="C220" s="913"/>
      <c r="D220" s="913"/>
      <c r="E220" s="913"/>
      <c r="F220" s="913"/>
      <c r="G220" s="913"/>
      <c r="H220" s="913"/>
      <c r="I220" s="913"/>
      <c r="J220" s="913"/>
      <c r="K220" s="549"/>
      <c r="L220" s="550"/>
    </row>
    <row r="221" spans="1:12" s="428" customFormat="1" ht="18" customHeight="1">
      <c r="A221" s="425"/>
      <c r="B221" s="425"/>
      <c r="C221" s="425"/>
      <c r="D221" s="425"/>
      <c r="E221" s="425"/>
      <c r="F221" s="807"/>
      <c r="G221" s="426"/>
      <c r="H221" s="426"/>
      <c r="I221" s="427"/>
      <c r="J221" s="427"/>
      <c r="K221" s="549"/>
      <c r="L221" s="550"/>
    </row>
    <row r="222" spans="1:13" s="428" customFormat="1" ht="19.5" customHeight="1">
      <c r="A222" s="414" t="s">
        <v>351</v>
      </c>
      <c r="B222" s="415" t="s">
        <v>65</v>
      </c>
      <c r="D222" s="295"/>
      <c r="E222" s="295"/>
      <c r="G222" s="429"/>
      <c r="H222" s="429"/>
      <c r="I222" s="808">
        <v>39447</v>
      </c>
      <c r="J222" s="712">
        <v>39082</v>
      </c>
      <c r="K222" s="713"/>
      <c r="M222" s="550"/>
    </row>
    <row r="223" spans="1:13" s="428" customFormat="1" ht="3.75" customHeight="1">
      <c r="A223" s="809"/>
      <c r="B223" s="430"/>
      <c r="C223" s="430"/>
      <c r="D223" s="430"/>
      <c r="E223" s="430"/>
      <c r="F223" s="431"/>
      <c r="G223" s="431"/>
      <c r="H223" s="431"/>
      <c r="I223" s="431"/>
      <c r="J223" s="431"/>
      <c r="K223" s="713"/>
      <c r="M223" s="550"/>
    </row>
    <row r="224" spans="1:13" s="428" customFormat="1" ht="19.5" customHeight="1">
      <c r="A224" s="432" t="s">
        <v>435</v>
      </c>
      <c r="B224" s="425"/>
      <c r="C224" s="425"/>
      <c r="D224" s="425"/>
      <c r="E224" s="425"/>
      <c r="F224" s="433"/>
      <c r="G224" s="433"/>
      <c r="H224" s="433"/>
      <c r="I224" s="433">
        <v>8437500000</v>
      </c>
      <c r="J224" s="433">
        <f>562500*10000</f>
        <v>5625000000</v>
      </c>
      <c r="K224" s="810"/>
      <c r="L224" s="811"/>
      <c r="M224" s="550"/>
    </row>
    <row r="225" spans="1:13" s="428" customFormat="1" ht="19.5" customHeight="1">
      <c r="A225" s="432" t="s">
        <v>436</v>
      </c>
      <c r="B225" s="425"/>
      <c r="C225" s="425"/>
      <c r="D225" s="425"/>
      <c r="E225" s="425"/>
      <c r="F225" s="433"/>
      <c r="G225" s="433"/>
      <c r="I225" s="433">
        <v>28413850000</v>
      </c>
      <c r="J225" s="433">
        <f>(17380+150000+615910+417930+8250+1950)*10000</f>
        <v>12114200000</v>
      </c>
      <c r="K225" s="810"/>
      <c r="L225" s="811"/>
      <c r="M225" s="550"/>
    </row>
    <row r="226" spans="1:13" s="428" customFormat="1" ht="19.5" customHeight="1">
      <c r="A226" s="432" t="s">
        <v>437</v>
      </c>
      <c r="B226" s="425"/>
      <c r="C226" s="425"/>
      <c r="D226" s="425"/>
      <c r="E226" s="425"/>
      <c r="F226" s="433"/>
      <c r="G226" s="433"/>
      <c r="I226" s="433">
        <v>17632200000</v>
      </c>
      <c r="J226" s="433">
        <f>(600000+176080+450000)*10000</f>
        <v>12260800000</v>
      </c>
      <c r="K226" s="810"/>
      <c r="L226" s="811"/>
      <c r="M226" s="550"/>
    </row>
    <row r="227" spans="1:13" s="428" customFormat="1" ht="19.5" customHeight="1">
      <c r="A227" s="432" t="s">
        <v>438</v>
      </c>
      <c r="B227" s="425"/>
      <c r="C227" s="425"/>
      <c r="D227" s="425"/>
      <c r="E227" s="425"/>
      <c r="F227" s="433"/>
      <c r="G227" s="433"/>
      <c r="I227" s="684">
        <v>47096692432</v>
      </c>
      <c r="J227" s="684">
        <v>11955733050</v>
      </c>
      <c r="K227" s="713"/>
      <c r="M227" s="550"/>
    </row>
    <row r="228" spans="1:13" s="428" customFormat="1" ht="21.75" customHeight="1" thickBot="1">
      <c r="A228" s="434"/>
      <c r="B228" s="434"/>
      <c r="C228" s="434"/>
      <c r="D228" s="434" t="s">
        <v>265</v>
      </c>
      <c r="E228" s="434"/>
      <c r="F228" s="435"/>
      <c r="G228" s="435"/>
      <c r="H228" s="435"/>
      <c r="I228" s="435">
        <f>I224+I225+I226+I227</f>
        <v>101580242432</v>
      </c>
      <c r="J228" s="435">
        <f>SUM(J224:J227)</f>
        <v>41955733050</v>
      </c>
      <c r="K228" s="713"/>
      <c r="L228" s="550"/>
      <c r="M228" s="550"/>
    </row>
    <row r="229" spans="1:13" s="428" customFormat="1" ht="15.75" customHeight="1" thickTop="1">
      <c r="A229" s="425"/>
      <c r="B229" s="425"/>
      <c r="C229" s="415"/>
      <c r="D229" s="425"/>
      <c r="E229" s="425"/>
      <c r="F229" s="436"/>
      <c r="G229" s="436"/>
      <c r="H229" s="436"/>
      <c r="I229" s="437"/>
      <c r="J229" s="437"/>
      <c r="K229" s="713"/>
      <c r="M229" s="550"/>
    </row>
    <row r="230" spans="1:13" s="429" customFormat="1" ht="19.5" customHeight="1">
      <c r="A230" s="438" t="s">
        <v>353</v>
      </c>
      <c r="B230" s="439" t="s">
        <v>347</v>
      </c>
      <c r="C230" s="440"/>
      <c r="D230" s="440"/>
      <c r="E230" s="440"/>
      <c r="F230" s="440"/>
      <c r="G230" s="440"/>
      <c r="H230" s="440"/>
      <c r="I230" s="812">
        <v>39447</v>
      </c>
      <c r="J230" s="812">
        <v>39082</v>
      </c>
      <c r="K230" s="813"/>
      <c r="M230" s="814"/>
    </row>
    <row r="231" spans="1:13" s="429" customFormat="1" ht="3.75" customHeight="1">
      <c r="A231" s="442"/>
      <c r="B231" s="443"/>
      <c r="C231" s="444"/>
      <c r="D231" s="444"/>
      <c r="E231" s="444"/>
      <c r="F231" s="444"/>
      <c r="G231" s="444"/>
      <c r="H231" s="444"/>
      <c r="I231" s="445"/>
      <c r="J231" s="445"/>
      <c r="K231" s="813"/>
      <c r="M231" s="814"/>
    </row>
    <row r="232" spans="1:13" s="428" customFormat="1" ht="18" customHeight="1">
      <c r="A232" s="295"/>
      <c r="B232" s="397" t="s">
        <v>123</v>
      </c>
      <c r="C232" s="415"/>
      <c r="D232" s="295"/>
      <c r="E232" s="295"/>
      <c r="F232" s="446"/>
      <c r="G232" s="446"/>
      <c r="H232" s="446"/>
      <c r="I232" s="419">
        <f>SUM(I233:I234)</f>
        <v>101580242432</v>
      </c>
      <c r="J232" s="419">
        <f>+F213</f>
        <v>30000000000</v>
      </c>
      <c r="K232" s="713"/>
      <c r="M232" s="550"/>
    </row>
    <row r="233" spans="1:13" s="429" customFormat="1" ht="18" customHeight="1">
      <c r="A233" s="425"/>
      <c r="B233" s="447"/>
      <c r="C233" s="448" t="s">
        <v>348</v>
      </c>
      <c r="D233" s="449"/>
      <c r="E233" s="449"/>
      <c r="F233" s="450"/>
      <c r="G233" s="450"/>
      <c r="I233" s="451">
        <v>46955733050</v>
      </c>
      <c r="J233" s="451">
        <v>15000000000</v>
      </c>
      <c r="K233" s="813"/>
      <c r="M233" s="814"/>
    </row>
    <row r="234" spans="1:13" s="429" customFormat="1" ht="18" customHeight="1">
      <c r="A234" s="425"/>
      <c r="B234" s="447"/>
      <c r="C234" s="448" t="s">
        <v>439</v>
      </c>
      <c r="D234" s="449"/>
      <c r="E234" s="449"/>
      <c r="F234" s="450"/>
      <c r="G234" s="450"/>
      <c r="I234" s="451">
        <v>54624509382</v>
      </c>
      <c r="J234" s="451">
        <v>15000000000</v>
      </c>
      <c r="K234" s="813"/>
      <c r="M234" s="814"/>
    </row>
    <row r="235" spans="1:13" s="429" customFormat="1" ht="18" customHeight="1">
      <c r="A235" s="425"/>
      <c r="B235" s="425"/>
      <c r="C235" s="448" t="s">
        <v>349</v>
      </c>
      <c r="D235" s="449"/>
      <c r="E235" s="449"/>
      <c r="F235" s="450"/>
      <c r="G235" s="450"/>
      <c r="I235" s="909">
        <f>I232</f>
        <v>101580242432</v>
      </c>
      <c r="J235" s="451">
        <v>30000000000</v>
      </c>
      <c r="K235" s="813"/>
      <c r="L235" s="815"/>
      <c r="M235" s="814"/>
    </row>
    <row r="236" spans="1:13" s="428" customFormat="1" ht="18" customHeight="1">
      <c r="A236" s="425"/>
      <c r="B236" s="432" t="s">
        <v>440</v>
      </c>
      <c r="C236" s="415"/>
      <c r="D236" s="425"/>
      <c r="E236" s="425"/>
      <c r="F236" s="436"/>
      <c r="G236" s="436"/>
      <c r="I236" s="452">
        <v>337500000</v>
      </c>
      <c r="J236" s="452">
        <v>908500000</v>
      </c>
      <c r="K236" s="713"/>
      <c r="M236" s="550"/>
    </row>
    <row r="237" spans="1:13" s="428" customFormat="1" ht="1.5" customHeight="1" thickBot="1">
      <c r="A237" s="453"/>
      <c r="B237" s="454"/>
      <c r="C237" s="454"/>
      <c r="D237" s="454"/>
      <c r="E237" s="454"/>
      <c r="F237" s="454"/>
      <c r="G237" s="454"/>
      <c r="H237" s="454"/>
      <c r="I237" s="454"/>
      <c r="J237" s="455"/>
      <c r="K237" s="713"/>
      <c r="M237" s="550"/>
    </row>
    <row r="238" spans="1:13" s="428" customFormat="1" ht="9.75" customHeight="1" thickTop="1">
      <c r="A238" s="453"/>
      <c r="B238" s="456"/>
      <c r="C238" s="456"/>
      <c r="D238" s="456"/>
      <c r="E238" s="456"/>
      <c r="F238" s="456"/>
      <c r="G238" s="456"/>
      <c r="H238" s="456"/>
      <c r="I238" s="456"/>
      <c r="J238" s="457"/>
      <c r="K238" s="713"/>
      <c r="M238" s="550"/>
    </row>
    <row r="239" spans="1:13" s="429" customFormat="1" ht="21" customHeight="1">
      <c r="A239" s="414" t="s">
        <v>354</v>
      </c>
      <c r="B239" s="289" t="s">
        <v>441</v>
      </c>
      <c r="C239" s="816"/>
      <c r="D239" s="816"/>
      <c r="E239" s="440"/>
      <c r="F239" s="440"/>
      <c r="G239" s="440"/>
      <c r="H239" s="440"/>
      <c r="I239" s="441"/>
      <c r="J239" s="441"/>
      <c r="K239" s="813"/>
      <c r="M239" s="814"/>
    </row>
    <row r="240" spans="1:13" s="429" customFormat="1" ht="21.75" customHeight="1">
      <c r="A240" s="438"/>
      <c r="B240" s="458" t="s">
        <v>442</v>
      </c>
      <c r="C240" s="444"/>
      <c r="D240" s="444"/>
      <c r="E240" s="444"/>
      <c r="F240" s="444"/>
      <c r="G240" s="444"/>
      <c r="H240" s="444"/>
      <c r="I240" s="459"/>
      <c r="J240" s="459"/>
      <c r="K240" s="813"/>
      <c r="M240" s="814"/>
    </row>
    <row r="241" spans="1:12" s="817" customFormat="1" ht="18" customHeight="1" thickBot="1">
      <c r="A241" s="442"/>
      <c r="B241" s="460"/>
      <c r="C241" s="461" t="s">
        <v>43</v>
      </c>
      <c r="D241" s="462"/>
      <c r="E241" s="462"/>
      <c r="F241" s="462"/>
      <c r="G241" s="462"/>
      <c r="H241" s="462"/>
      <c r="I241" s="463">
        <v>0.12</v>
      </c>
      <c r="J241" s="463">
        <v>0.14</v>
      </c>
      <c r="L241" s="818"/>
    </row>
    <row r="242" spans="1:12" s="817" customFormat="1" ht="9.75" customHeight="1" thickTop="1">
      <c r="A242" s="442"/>
      <c r="B242" s="464"/>
      <c r="C242" s="448"/>
      <c r="D242" s="465"/>
      <c r="E242" s="465"/>
      <c r="F242" s="465"/>
      <c r="G242" s="465"/>
      <c r="H242" s="465"/>
      <c r="I242" s="466"/>
      <c r="J242" s="466"/>
      <c r="L242" s="818"/>
    </row>
    <row r="243" spans="1:12" s="817" customFormat="1" ht="19.5" customHeight="1">
      <c r="A243" s="442" t="s">
        <v>380</v>
      </c>
      <c r="B243" s="439" t="s">
        <v>381</v>
      </c>
      <c r="C243" s="439"/>
      <c r="D243" s="439"/>
      <c r="E243" s="439"/>
      <c r="F243" s="439"/>
      <c r="G243" s="439"/>
      <c r="H243" s="439"/>
      <c r="I243" s="819">
        <v>39447</v>
      </c>
      <c r="J243" s="819">
        <v>39082</v>
      </c>
      <c r="L243" s="818"/>
    </row>
    <row r="244" spans="1:12" s="817" customFormat="1" ht="19.5" customHeight="1">
      <c r="A244" s="442"/>
      <c r="B244" s="914" t="s">
        <v>40</v>
      </c>
      <c r="C244" s="915"/>
      <c r="D244" s="915"/>
      <c r="E244" s="915"/>
      <c r="F244" s="915"/>
      <c r="G244" s="915"/>
      <c r="H244" s="467"/>
      <c r="I244" s="427">
        <v>5448355</v>
      </c>
      <c r="J244" s="427">
        <v>3000000</v>
      </c>
      <c r="K244" s="820"/>
      <c r="L244" s="818"/>
    </row>
    <row r="245" spans="1:12" s="817" customFormat="1" ht="19.5" customHeight="1">
      <c r="A245" s="442"/>
      <c r="B245" s="921" t="s">
        <v>41</v>
      </c>
      <c r="C245" s="922"/>
      <c r="D245" s="922"/>
      <c r="E245" s="922"/>
      <c r="F245" s="922"/>
      <c r="G245" s="922"/>
      <c r="H245" s="43"/>
      <c r="I245" s="427">
        <f>I244</f>
        <v>5448355</v>
      </c>
      <c r="J245" s="427">
        <f>J244</f>
        <v>3000000</v>
      </c>
      <c r="L245" s="818"/>
    </row>
    <row r="246" spans="1:12" s="817" customFormat="1" ht="19.5" customHeight="1">
      <c r="A246" s="442"/>
      <c r="B246" s="468" t="s">
        <v>443</v>
      </c>
      <c r="C246" s="469"/>
      <c r="D246" s="469"/>
      <c r="E246" s="469"/>
      <c r="F246" s="469"/>
      <c r="G246" s="469"/>
      <c r="H246" s="470"/>
      <c r="I246" s="471">
        <f>I248</f>
        <v>5448355</v>
      </c>
      <c r="J246" s="471">
        <f>J248</f>
        <v>3000000</v>
      </c>
      <c r="L246" s="818"/>
    </row>
    <row r="247" spans="1:12" s="817" customFormat="1" ht="19.5" customHeight="1">
      <c r="A247" s="442"/>
      <c r="B247" s="921" t="s">
        <v>42</v>
      </c>
      <c r="C247" s="922"/>
      <c r="D247" s="922"/>
      <c r="E247" s="922"/>
      <c r="F247" s="922"/>
      <c r="G247" s="922"/>
      <c r="H247" s="43"/>
      <c r="I247" s="427">
        <f>I244</f>
        <v>5448355</v>
      </c>
      <c r="J247" s="427">
        <f>J244</f>
        <v>3000000</v>
      </c>
      <c r="L247" s="818"/>
    </row>
    <row r="248" spans="1:12" s="817" customFormat="1" ht="19.5" customHeight="1">
      <c r="A248" s="442"/>
      <c r="B248" s="468" t="s">
        <v>443</v>
      </c>
      <c r="C248" s="470"/>
      <c r="D248" s="470"/>
      <c r="E248" s="470"/>
      <c r="F248" s="470"/>
      <c r="G248" s="470"/>
      <c r="H248" s="470"/>
      <c r="I248" s="471">
        <f>I247</f>
        <v>5448355</v>
      </c>
      <c r="J248" s="471">
        <f>J247</f>
        <v>3000000</v>
      </c>
      <c r="L248" s="818"/>
    </row>
    <row r="249" spans="1:12" s="817" customFormat="1" ht="19.5" customHeight="1" thickBot="1">
      <c r="A249" s="442"/>
      <c r="B249" s="923" t="s">
        <v>549</v>
      </c>
      <c r="C249" s="923"/>
      <c r="D249" s="923"/>
      <c r="E249" s="923"/>
      <c r="F249" s="923"/>
      <c r="G249" s="923"/>
      <c r="H249" s="923"/>
      <c r="I249" s="902">
        <v>10000</v>
      </c>
      <c r="J249" s="902">
        <v>10000</v>
      </c>
      <c r="L249" s="818"/>
    </row>
    <row r="250" spans="1:12" s="817" customFormat="1" ht="19.5" customHeight="1" thickTop="1">
      <c r="A250" s="442"/>
      <c r="B250" s="472"/>
      <c r="C250" s="472"/>
      <c r="D250" s="472"/>
      <c r="E250" s="472"/>
      <c r="F250" s="472"/>
      <c r="G250" s="472"/>
      <c r="H250" s="472"/>
      <c r="I250" s="470"/>
      <c r="J250" s="470"/>
      <c r="L250" s="818"/>
    </row>
    <row r="251" spans="1:12" s="428" customFormat="1" ht="19.5" customHeight="1">
      <c r="A251" s="438" t="s">
        <v>355</v>
      </c>
      <c r="B251" s="443" t="s">
        <v>382</v>
      </c>
      <c r="C251" s="425"/>
      <c r="D251" s="425"/>
      <c r="E251" s="425"/>
      <c r="F251" s="425"/>
      <c r="G251" s="425"/>
      <c r="H251" s="425"/>
      <c r="I251" s="473"/>
      <c r="J251" s="473"/>
      <c r="L251" s="550"/>
    </row>
    <row r="252" spans="1:12" s="428" customFormat="1" ht="19.5" customHeight="1">
      <c r="A252" s="438"/>
      <c r="B252" s="443"/>
      <c r="C252" s="474" t="s">
        <v>550</v>
      </c>
      <c r="D252" s="425"/>
      <c r="E252" s="425"/>
      <c r="G252" s="821"/>
      <c r="H252" s="822"/>
      <c r="I252" s="823"/>
      <c r="J252" s="473"/>
      <c r="L252" s="550"/>
    </row>
    <row r="253" spans="1:12" s="428" customFormat="1" ht="19.5" customHeight="1">
      <c r="A253" s="438"/>
      <c r="B253" s="443"/>
      <c r="C253" s="474" t="s">
        <v>551</v>
      </c>
      <c r="D253" s="475"/>
      <c r="E253" s="475"/>
      <c r="G253" s="822"/>
      <c r="H253" s="822"/>
      <c r="I253" s="823"/>
      <c r="J253" s="473"/>
      <c r="L253" s="550"/>
    </row>
    <row r="254" spans="1:12" s="428" customFormat="1" ht="21.75" customHeight="1">
      <c r="A254" s="924" t="s">
        <v>587</v>
      </c>
      <c r="B254" s="910"/>
      <c r="C254" s="910"/>
      <c r="D254" s="910"/>
      <c r="E254" s="910"/>
      <c r="F254" s="910"/>
      <c r="G254" s="910"/>
      <c r="H254" s="910"/>
      <c r="I254" s="910"/>
      <c r="J254" s="910"/>
      <c r="L254" s="550"/>
    </row>
    <row r="255" spans="1:12" s="428" customFormat="1" ht="19.5" customHeight="1">
      <c r="A255" s="476"/>
      <c r="B255" s="918" t="s">
        <v>4</v>
      </c>
      <c r="C255" s="946"/>
      <c r="D255" s="946"/>
      <c r="E255" s="946"/>
      <c r="F255" s="946"/>
      <c r="G255" s="946"/>
      <c r="H255" s="946"/>
      <c r="I255" s="946"/>
      <c r="J255" s="946"/>
      <c r="L255" s="550"/>
    </row>
    <row r="256" spans="1:12" s="428" customFormat="1" ht="37.5" customHeight="1">
      <c r="A256" s="477"/>
      <c r="B256" s="918" t="s">
        <v>31</v>
      </c>
      <c r="C256" s="946"/>
      <c r="D256" s="946"/>
      <c r="E256" s="946"/>
      <c r="F256" s="946"/>
      <c r="G256" s="946"/>
      <c r="H256" s="946"/>
      <c r="I256" s="946"/>
      <c r="J256" s="946"/>
      <c r="L256" s="550"/>
    </row>
    <row r="257" spans="1:12" s="428" customFormat="1" ht="9.75" customHeight="1">
      <c r="A257" s="443"/>
      <c r="B257" s="478"/>
      <c r="C257" s="478"/>
      <c r="D257" s="478"/>
      <c r="E257" s="478"/>
      <c r="F257" s="478"/>
      <c r="G257" s="478"/>
      <c r="H257" s="478"/>
      <c r="I257" s="478"/>
      <c r="J257" s="478"/>
      <c r="L257" s="550"/>
    </row>
    <row r="258" spans="1:12" s="428" customFormat="1" ht="9.75" customHeight="1">
      <c r="A258" s="443"/>
      <c r="B258" s="478"/>
      <c r="C258" s="478"/>
      <c r="D258" s="478"/>
      <c r="E258" s="478"/>
      <c r="F258" s="478"/>
      <c r="G258" s="478"/>
      <c r="H258" s="478"/>
      <c r="I258" s="478"/>
      <c r="J258" s="478"/>
      <c r="L258" s="550"/>
    </row>
    <row r="259" spans="1:13" s="58" customFormat="1" ht="19.5" customHeight="1">
      <c r="A259" s="479" t="s">
        <v>263</v>
      </c>
      <c r="B259" s="10" t="s">
        <v>261</v>
      </c>
      <c r="C259" s="275"/>
      <c r="D259" s="275"/>
      <c r="E259" s="275"/>
      <c r="F259" s="275"/>
      <c r="G259" s="275"/>
      <c r="H259" s="275"/>
      <c r="I259" s="480"/>
      <c r="J259" s="480"/>
      <c r="K259" s="112"/>
      <c r="M259" s="824"/>
    </row>
    <row r="260" spans="1:13" s="58" customFormat="1" ht="21.75" customHeight="1">
      <c r="A260" s="271" t="s">
        <v>68</v>
      </c>
      <c r="B260" s="272" t="s">
        <v>384</v>
      </c>
      <c r="C260" s="286"/>
      <c r="D260" s="273"/>
      <c r="E260" s="273"/>
      <c r="F260" s="273"/>
      <c r="G260" s="273"/>
      <c r="H260" s="919">
        <f>I261+I262</f>
        <v>46734625452</v>
      </c>
      <c r="I260" s="919"/>
      <c r="J260" s="481">
        <f>J261+J262</f>
        <v>67063464174</v>
      </c>
      <c r="K260" s="112"/>
      <c r="M260" s="824"/>
    </row>
    <row r="261" spans="1:13" s="58" customFormat="1" ht="21" customHeight="1">
      <c r="A261" s="275"/>
      <c r="B261" s="386" t="s">
        <v>36</v>
      </c>
      <c r="C261" s="482"/>
      <c r="D261" s="387"/>
      <c r="E261" s="387"/>
      <c r="F261" s="387"/>
      <c r="G261" s="387"/>
      <c r="I261" s="551">
        <f>30199300439+15806275297</f>
        <v>46005575736</v>
      </c>
      <c r="J261" s="551">
        <v>67063464174</v>
      </c>
      <c r="K261" s="112"/>
      <c r="M261" s="824"/>
    </row>
    <row r="262" spans="1:13" s="58" customFormat="1" ht="19.5" customHeight="1" thickBot="1">
      <c r="A262" s="275"/>
      <c r="B262" s="483" t="s">
        <v>37</v>
      </c>
      <c r="C262" s="484"/>
      <c r="D262" s="485"/>
      <c r="E262" s="485"/>
      <c r="F262" s="485"/>
      <c r="G262" s="485"/>
      <c r="H262" s="484"/>
      <c r="I262" s="376">
        <v>729049716</v>
      </c>
      <c r="J262" s="376">
        <v>0</v>
      </c>
      <c r="K262" s="112"/>
      <c r="M262" s="824"/>
    </row>
    <row r="263" spans="1:13" s="58" customFormat="1" ht="15" customHeight="1" thickTop="1">
      <c r="A263" s="475"/>
      <c r="B263" s="474"/>
      <c r="D263" s="475"/>
      <c r="E263" s="475"/>
      <c r="F263" s="475"/>
      <c r="G263" s="475"/>
      <c r="H263" s="475"/>
      <c r="I263" s="825"/>
      <c r="J263" s="452"/>
      <c r="K263" s="112"/>
      <c r="M263" s="824"/>
    </row>
    <row r="264" spans="1:13" s="58" customFormat="1" ht="21.75" customHeight="1">
      <c r="A264" s="271" t="s">
        <v>371</v>
      </c>
      <c r="B264" s="272" t="s">
        <v>372</v>
      </c>
      <c r="C264" s="286"/>
      <c r="D264" s="273"/>
      <c r="E264" s="273"/>
      <c r="F264" s="273"/>
      <c r="G264" s="273"/>
      <c r="H264" s="273"/>
      <c r="I264" s="901">
        <f>SUM(I265)</f>
        <v>436566592</v>
      </c>
      <c r="J264" s="486">
        <f>SUM(J265)</f>
        <v>0</v>
      </c>
      <c r="K264" s="112"/>
      <c r="M264" s="824"/>
    </row>
    <row r="265" spans="1:13" s="58" customFormat="1" ht="21" customHeight="1" thickBot="1">
      <c r="A265" s="275"/>
      <c r="B265" s="487" t="s">
        <v>373</v>
      </c>
      <c r="C265" s="488"/>
      <c r="D265" s="489"/>
      <c r="E265" s="489"/>
      <c r="F265" s="489"/>
      <c r="G265" s="489"/>
      <c r="H265" s="489"/>
      <c r="I265" s="900">
        <v>436566592</v>
      </c>
      <c r="J265" s="490">
        <v>0</v>
      </c>
      <c r="K265" s="112"/>
      <c r="L265" s="826"/>
      <c r="M265" s="824"/>
    </row>
    <row r="266" spans="1:13" s="58" customFormat="1" ht="15" customHeight="1" thickTop="1">
      <c r="A266" s="475"/>
      <c r="B266" s="9"/>
      <c r="C266" s="9"/>
      <c r="D266" s="9"/>
      <c r="E266" s="9"/>
      <c r="F266" s="275"/>
      <c r="G266" s="288"/>
      <c r="H266" s="288"/>
      <c r="I266" s="688"/>
      <c r="J266" s="688"/>
      <c r="K266" s="112"/>
      <c r="M266" s="824"/>
    </row>
    <row r="267" spans="1:13" s="58" customFormat="1" ht="21.75" customHeight="1">
      <c r="A267" s="271" t="s">
        <v>70</v>
      </c>
      <c r="B267" s="272" t="s">
        <v>552</v>
      </c>
      <c r="C267" s="286"/>
      <c r="D267" s="273"/>
      <c r="E267" s="273"/>
      <c r="F267" s="273"/>
      <c r="G267" s="273"/>
      <c r="H267" s="919">
        <f>H260-I265</f>
        <v>46298058860</v>
      </c>
      <c r="I267" s="919"/>
      <c r="J267" s="481">
        <f>SUM(J268:J269)</f>
        <v>67063464174</v>
      </c>
      <c r="K267" s="112"/>
      <c r="M267" s="824"/>
    </row>
    <row r="268" spans="1:13" s="58" customFormat="1" ht="19.5" customHeight="1">
      <c r="A268" s="271"/>
      <c r="B268" s="391" t="s">
        <v>15</v>
      </c>
      <c r="D268" s="10"/>
      <c r="E268" s="10"/>
      <c r="F268" s="10"/>
      <c r="G268" s="10"/>
      <c r="H268" s="920">
        <f>I261-I265</f>
        <v>45569009144</v>
      </c>
      <c r="I268" s="920"/>
      <c r="J268" s="480">
        <f>J261-J265</f>
        <v>67063464174</v>
      </c>
      <c r="K268" s="62"/>
      <c r="M268" s="824"/>
    </row>
    <row r="269" spans="1:13" s="58" customFormat="1" ht="19.5" customHeight="1" thickBot="1">
      <c r="A269" s="271"/>
      <c r="B269" s="483" t="s">
        <v>16</v>
      </c>
      <c r="C269" s="484"/>
      <c r="D269" s="491"/>
      <c r="E269" s="491"/>
      <c r="F269" s="491"/>
      <c r="G269" s="491"/>
      <c r="H269" s="953">
        <f>I262</f>
        <v>729049716</v>
      </c>
      <c r="I269" s="953"/>
      <c r="J269" s="492">
        <f>J262</f>
        <v>0</v>
      </c>
      <c r="K269" s="62"/>
      <c r="M269" s="824"/>
    </row>
    <row r="270" spans="1:13" s="58" customFormat="1" ht="19.5" customHeight="1" thickTop="1">
      <c r="A270" s="475"/>
      <c r="B270" s="9"/>
      <c r="C270" s="9"/>
      <c r="D270" s="9"/>
      <c r="E270" s="9"/>
      <c r="F270" s="275"/>
      <c r="G270" s="288"/>
      <c r="H270" s="288"/>
      <c r="I270" s="688"/>
      <c r="J270" s="688"/>
      <c r="K270" s="112"/>
      <c r="M270" s="824"/>
    </row>
    <row r="271" spans="1:13" s="58" customFormat="1" ht="21.75" customHeight="1">
      <c r="A271" s="271" t="s">
        <v>73</v>
      </c>
      <c r="B271" s="272" t="s">
        <v>67</v>
      </c>
      <c r="C271" s="286"/>
      <c r="D271" s="273"/>
      <c r="E271" s="273"/>
      <c r="F271" s="273"/>
      <c r="G271" s="273"/>
      <c r="H271" s="273"/>
      <c r="I271" s="827" t="s">
        <v>596</v>
      </c>
      <c r="J271" s="828">
        <v>39082</v>
      </c>
      <c r="K271" s="112"/>
      <c r="M271" s="824"/>
    </row>
    <row r="272" spans="1:13" s="58" customFormat="1" ht="19.5" customHeight="1">
      <c r="A272" s="493"/>
      <c r="B272" s="391" t="s">
        <v>385</v>
      </c>
      <c r="D272" s="275"/>
      <c r="E272" s="275"/>
      <c r="F272" s="275"/>
      <c r="G272" s="275"/>
      <c r="H272" s="916">
        <v>40324918261</v>
      </c>
      <c r="I272" s="916"/>
      <c r="J272" s="427">
        <v>59650544413</v>
      </c>
      <c r="K272" s="112"/>
      <c r="M272" s="824"/>
    </row>
    <row r="273" spans="1:13" s="58" customFormat="1" ht="1.5" customHeight="1">
      <c r="A273" s="275"/>
      <c r="B273" s="391"/>
      <c r="D273" s="391"/>
      <c r="E273" s="275"/>
      <c r="F273" s="275"/>
      <c r="G273" s="275"/>
      <c r="H273" s="275"/>
      <c r="I273" s="480"/>
      <c r="J273" s="427"/>
      <c r="K273" s="112"/>
      <c r="M273" s="824"/>
    </row>
    <row r="274" spans="1:13" s="58" customFormat="1" ht="19.5" customHeight="1" thickBot="1">
      <c r="A274" s="475"/>
      <c r="B274" s="494"/>
      <c r="C274" s="495"/>
      <c r="D274" s="281" t="s">
        <v>265</v>
      </c>
      <c r="E274" s="494"/>
      <c r="F274" s="494"/>
      <c r="G274" s="494"/>
      <c r="H274" s="917">
        <f>H272</f>
        <v>40324918261</v>
      </c>
      <c r="I274" s="917"/>
      <c r="J274" s="496">
        <f>J272</f>
        <v>59650544413</v>
      </c>
      <c r="K274" s="112"/>
      <c r="L274" s="829"/>
      <c r="M274" s="824"/>
    </row>
    <row r="275" spans="1:13" s="58" customFormat="1" ht="17.25" customHeight="1" thickTop="1">
      <c r="A275" s="475"/>
      <c r="B275" s="391"/>
      <c r="D275" s="475"/>
      <c r="E275" s="475"/>
      <c r="F275" s="475"/>
      <c r="G275" s="475"/>
      <c r="H275" s="475"/>
      <c r="I275" s="497"/>
      <c r="J275" s="497"/>
      <c r="K275" s="112"/>
      <c r="L275" s="829">
        <f>L274/2</f>
        <v>0</v>
      </c>
      <c r="M275" s="824"/>
    </row>
    <row r="276" spans="1:13" s="58" customFormat="1" ht="21.75" customHeight="1">
      <c r="A276" s="271" t="s">
        <v>259</v>
      </c>
      <c r="B276" s="272" t="s">
        <v>66</v>
      </c>
      <c r="C276" s="286"/>
      <c r="D276" s="273"/>
      <c r="E276" s="273"/>
      <c r="F276" s="273"/>
      <c r="G276" s="273"/>
      <c r="H276" s="273"/>
      <c r="I276" s="827" t="s">
        <v>599</v>
      </c>
      <c r="J276" s="828" t="s">
        <v>600</v>
      </c>
      <c r="K276" s="112"/>
      <c r="M276" s="824"/>
    </row>
    <row r="277" spans="1:13" s="58" customFormat="1" ht="19.5" customHeight="1">
      <c r="A277" s="493"/>
      <c r="B277" s="391" t="s">
        <v>69</v>
      </c>
      <c r="D277" s="391"/>
      <c r="E277" s="275"/>
      <c r="F277" s="275"/>
      <c r="G277" s="275"/>
      <c r="H277" s="275"/>
      <c r="I277" s="278">
        <f>1487419+178035782</f>
        <v>179523201</v>
      </c>
      <c r="J277" s="278">
        <f>4086543+924783</f>
        <v>5011326</v>
      </c>
      <c r="K277" s="830">
        <v>1286671</v>
      </c>
      <c r="L277" s="831"/>
      <c r="M277" s="824"/>
    </row>
    <row r="278" spans="1:13" s="58" customFormat="1" ht="19.5" customHeight="1">
      <c r="A278" s="493"/>
      <c r="B278" s="391" t="s">
        <v>17</v>
      </c>
      <c r="D278" s="391"/>
      <c r="E278" s="275"/>
      <c r="F278" s="275"/>
      <c r="G278" s="275"/>
      <c r="H278" s="275"/>
      <c r="I278" s="278"/>
      <c r="J278" s="278">
        <v>0</v>
      </c>
      <c r="K278" s="761"/>
      <c r="L278" s="831"/>
      <c r="M278" s="824"/>
    </row>
    <row r="279" spans="1:13" s="58" customFormat="1" ht="19.5" customHeight="1">
      <c r="A279" s="493"/>
      <c r="B279" s="391" t="s">
        <v>38</v>
      </c>
      <c r="D279" s="391"/>
      <c r="E279" s="275"/>
      <c r="F279" s="275"/>
      <c r="G279" s="275"/>
      <c r="H279" s="275"/>
      <c r="I279" s="500">
        <f>18795069+4143944</f>
        <v>22939013</v>
      </c>
      <c r="J279" s="500">
        <f>70238843+234078</f>
        <v>70472921</v>
      </c>
      <c r="K279" s="761">
        <f>SUM(J279:J280)</f>
        <v>70472921</v>
      </c>
      <c r="L279" s="832">
        <v>1500612</v>
      </c>
      <c r="M279" s="824"/>
    </row>
    <row r="280" spans="1:13" s="58" customFormat="1" ht="19.5" customHeight="1">
      <c r="A280" s="493"/>
      <c r="B280" s="391" t="s">
        <v>39</v>
      </c>
      <c r="D280" s="474"/>
      <c r="E280" s="475"/>
      <c r="F280" s="475"/>
      <c r="G280" s="475"/>
      <c r="H280" s="475"/>
      <c r="I280" s="500"/>
      <c r="J280" s="500">
        <v>0</v>
      </c>
      <c r="K280" s="761">
        <f>'[5]LCTT-TT'!I41</f>
        <v>1764061</v>
      </c>
      <c r="L280" s="761">
        <v>97821284</v>
      </c>
      <c r="M280" s="824"/>
    </row>
    <row r="281" spans="1:13" s="58" customFormat="1" ht="19.5" customHeight="1">
      <c r="A281" s="493"/>
      <c r="B281" s="391" t="s">
        <v>553</v>
      </c>
      <c r="D281" s="474"/>
      <c r="E281" s="475"/>
      <c r="F281" s="475"/>
      <c r="G281" s="475"/>
      <c r="H281" s="475"/>
      <c r="I281" s="500"/>
      <c r="J281" s="500">
        <v>0</v>
      </c>
      <c r="K281" s="761">
        <f>J281+J278</f>
        <v>0</v>
      </c>
      <c r="L281" s="761">
        <v>119838045</v>
      </c>
      <c r="M281" s="824"/>
    </row>
    <row r="282" spans="1:13" s="58" customFormat="1" ht="19.5" customHeight="1">
      <c r="A282" s="493"/>
      <c r="B282" s="391" t="s">
        <v>25</v>
      </c>
      <c r="D282" s="474"/>
      <c r="E282" s="475"/>
      <c r="F282" s="475"/>
      <c r="G282" s="475"/>
      <c r="H282" s="475"/>
      <c r="I282" s="500"/>
      <c r="J282" s="498"/>
      <c r="K282" s="761"/>
      <c r="L282" s="761">
        <f>SUM(L280:L281)</f>
        <v>217659329</v>
      </c>
      <c r="M282" s="824"/>
    </row>
    <row r="283" spans="1:13" s="58" customFormat="1" ht="21" customHeight="1" thickBot="1">
      <c r="A283" s="475"/>
      <c r="B283" s="494"/>
      <c r="C283" s="495"/>
      <c r="D283" s="281" t="s">
        <v>265</v>
      </c>
      <c r="E283" s="494"/>
      <c r="F283" s="494"/>
      <c r="G283" s="494"/>
      <c r="H283" s="494"/>
      <c r="I283" s="501">
        <f>SUM(I277:I282)</f>
        <v>202462214</v>
      </c>
      <c r="J283" s="501">
        <f>SUM(J277:J282)</f>
        <v>75484247</v>
      </c>
      <c r="K283" s="761">
        <f>I283-'[5]KQKD'!E12</f>
        <v>44891538</v>
      </c>
      <c r="L283" s="833">
        <f>J283-'[5]KQKD'!G12</f>
        <v>-261643225</v>
      </c>
      <c r="M283" s="824"/>
    </row>
    <row r="284" spans="1:13" s="58" customFormat="1" ht="15" customHeight="1" thickTop="1">
      <c r="A284" s="475"/>
      <c r="B284" s="475"/>
      <c r="C284" s="475"/>
      <c r="D284" s="474"/>
      <c r="E284" s="475"/>
      <c r="F284" s="475"/>
      <c r="G284" s="475"/>
      <c r="H284" s="475"/>
      <c r="I284" s="497"/>
      <c r="J284" s="480"/>
      <c r="K284" s="112"/>
      <c r="M284" s="824"/>
    </row>
    <row r="285" spans="1:13" s="58" customFormat="1" ht="21.75" customHeight="1">
      <c r="A285" s="10" t="s">
        <v>11</v>
      </c>
      <c r="B285" s="272" t="s">
        <v>12</v>
      </c>
      <c r="C285" s="286"/>
      <c r="D285" s="273"/>
      <c r="E285" s="273"/>
      <c r="F285" s="273"/>
      <c r="G285" s="273"/>
      <c r="H285" s="273"/>
      <c r="I285" s="827" t="s">
        <v>599</v>
      </c>
      <c r="J285" s="828" t="s">
        <v>600</v>
      </c>
      <c r="K285" s="112"/>
      <c r="M285" s="824"/>
    </row>
    <row r="286" spans="1:13" s="58" customFormat="1" ht="19.5" customHeight="1">
      <c r="A286" s="493"/>
      <c r="B286" s="391" t="s">
        <v>13</v>
      </c>
      <c r="D286" s="391"/>
      <c r="E286" s="275"/>
      <c r="F286" s="275"/>
      <c r="G286" s="275"/>
      <c r="H286" s="275"/>
      <c r="I286" s="278">
        <f>57208253+52055448</f>
        <v>109263701</v>
      </c>
      <c r="J286" s="278">
        <v>98618461</v>
      </c>
      <c r="K286" s="112"/>
      <c r="M286" s="824"/>
    </row>
    <row r="287" spans="1:13" s="58" customFormat="1" ht="19.5" customHeight="1">
      <c r="A287" s="493"/>
      <c r="B287" s="391" t="s">
        <v>14</v>
      </c>
      <c r="D287" s="391"/>
      <c r="E287" s="275"/>
      <c r="F287" s="275"/>
      <c r="G287" s="275"/>
      <c r="H287" s="275"/>
      <c r="I287" s="500">
        <v>1135389</v>
      </c>
      <c r="J287" s="500">
        <f>11532282+1553877</f>
        <v>13086159</v>
      </c>
      <c r="K287" s="112"/>
      <c r="M287" s="824"/>
    </row>
    <row r="288" spans="1:13" s="58" customFormat="1" ht="19.5" customHeight="1">
      <c r="A288" s="493"/>
      <c r="B288" s="391" t="s">
        <v>18</v>
      </c>
      <c r="D288" s="391"/>
      <c r="E288" s="275"/>
      <c r="F288" s="275"/>
      <c r="G288" s="275"/>
      <c r="H288" s="275"/>
      <c r="I288" s="278">
        <f>50113269+1565102</f>
        <v>51678371</v>
      </c>
      <c r="J288" s="278">
        <f>16+27330652+21951973</f>
        <v>49282641</v>
      </c>
      <c r="K288" s="499"/>
      <c r="M288" s="824"/>
    </row>
    <row r="289" spans="1:13" s="58" customFormat="1" ht="22.5" customHeight="1" thickBot="1">
      <c r="A289" s="493"/>
      <c r="B289" s="502"/>
      <c r="C289" s="309"/>
      <c r="D289" s="281" t="s">
        <v>265</v>
      </c>
      <c r="E289" s="280"/>
      <c r="F289" s="280"/>
      <c r="G289" s="280"/>
      <c r="H289" s="280"/>
      <c r="I289" s="410">
        <f>SUM(I286:I288)</f>
        <v>162077461</v>
      </c>
      <c r="J289" s="410">
        <f>SUM(J286:J288)</f>
        <v>160987261</v>
      </c>
      <c r="K289" s="112"/>
      <c r="L289" s="826"/>
      <c r="M289" s="824"/>
    </row>
    <row r="290" spans="1:13" s="58" customFormat="1" ht="15" customHeight="1" thickTop="1">
      <c r="A290" s="475"/>
      <c r="B290" s="475"/>
      <c r="C290" s="475"/>
      <c r="D290" s="474"/>
      <c r="E290" s="475"/>
      <c r="F290" s="475"/>
      <c r="G290" s="475"/>
      <c r="H290" s="475"/>
      <c r="I290" s="497"/>
      <c r="J290" s="480"/>
      <c r="K290" s="112"/>
      <c r="M290" s="824"/>
    </row>
    <row r="291" spans="1:13" s="211" customFormat="1" ht="21.75" customHeight="1">
      <c r="A291" s="503">
        <v>31</v>
      </c>
      <c r="B291" s="504" t="s">
        <v>363</v>
      </c>
      <c r="C291" s="505"/>
      <c r="D291" s="505"/>
      <c r="E291" s="505"/>
      <c r="F291" s="505"/>
      <c r="G291" s="505"/>
      <c r="H291" s="505"/>
      <c r="I291" s="827" t="s">
        <v>599</v>
      </c>
      <c r="J291" s="828" t="s">
        <v>600</v>
      </c>
      <c r="K291" s="834"/>
      <c r="M291" s="835"/>
    </row>
    <row r="292" spans="1:13" s="58" customFormat="1" ht="3.75" customHeight="1">
      <c r="A292" s="506"/>
      <c r="B292" s="507"/>
      <c r="C292" s="507"/>
      <c r="D292" s="507"/>
      <c r="E292" s="507"/>
      <c r="F292" s="507"/>
      <c r="G292" s="507"/>
      <c r="H292" s="507"/>
      <c r="I292" s="508"/>
      <c r="J292" s="509"/>
      <c r="K292" s="834"/>
      <c r="M292" s="824"/>
    </row>
    <row r="293" spans="1:13" s="58" customFormat="1" ht="36" customHeight="1">
      <c r="A293" s="271"/>
      <c r="B293" s="950" t="s">
        <v>387</v>
      </c>
      <c r="C293" s="951"/>
      <c r="D293" s="951"/>
      <c r="E293" s="951"/>
      <c r="F293" s="951"/>
      <c r="G293" s="951"/>
      <c r="H293" s="952">
        <f>KQKDM!D22</f>
        <v>3285306386</v>
      </c>
      <c r="I293" s="952"/>
      <c r="J293" s="517">
        <v>2806573594</v>
      </c>
      <c r="K293" s="112"/>
      <c r="L293" s="314"/>
      <c r="M293" s="824"/>
    </row>
    <row r="294" spans="1:13" s="58" customFormat="1" ht="36" customHeight="1">
      <c r="A294" s="271"/>
      <c r="B294" s="950" t="s">
        <v>8</v>
      </c>
      <c r="C294" s="951"/>
      <c r="D294" s="951"/>
      <c r="E294" s="951"/>
      <c r="F294" s="951"/>
      <c r="G294" s="951"/>
      <c r="H294" s="511"/>
      <c r="I294" s="836"/>
      <c r="J294" s="510">
        <f>J300-J301</f>
        <v>194943190</v>
      </c>
      <c r="K294" s="834"/>
      <c r="M294" s="824"/>
    </row>
    <row r="295" spans="1:13" s="58" customFormat="1" ht="20.25" customHeight="1" hidden="1">
      <c r="A295" s="271"/>
      <c r="B295" s="511"/>
      <c r="C295" s="511"/>
      <c r="D295" s="512" t="s">
        <v>183</v>
      </c>
      <c r="E295" s="512"/>
      <c r="F295" s="512"/>
      <c r="G295" s="512"/>
      <c r="H295" s="512"/>
      <c r="I295" s="500"/>
      <c r="J295" s="500"/>
      <c r="K295" s="834"/>
      <c r="M295" s="824"/>
    </row>
    <row r="296" spans="1:13" s="58" customFormat="1" ht="21" customHeight="1" hidden="1">
      <c r="A296" s="271"/>
      <c r="B296" s="511"/>
      <c r="C296" s="511"/>
      <c r="D296" s="512" t="s">
        <v>184</v>
      </c>
      <c r="E296" s="512"/>
      <c r="F296" s="512"/>
      <c r="G296" s="512"/>
      <c r="H296" s="512"/>
      <c r="I296" s="500"/>
      <c r="J296" s="500"/>
      <c r="K296" s="834"/>
      <c r="M296" s="824"/>
    </row>
    <row r="297" spans="1:13" s="58" customFormat="1" ht="21" customHeight="1" hidden="1">
      <c r="A297" s="271"/>
      <c r="B297" s="511"/>
      <c r="C297" s="511"/>
      <c r="D297" s="512" t="s">
        <v>185</v>
      </c>
      <c r="E297" s="512"/>
      <c r="F297" s="512"/>
      <c r="G297" s="512"/>
      <c r="H297" s="512"/>
      <c r="I297" s="500"/>
      <c r="J297" s="500"/>
      <c r="K297" s="834"/>
      <c r="M297" s="824"/>
    </row>
    <row r="298" spans="1:13" s="58" customFormat="1" ht="24.75" customHeight="1" hidden="1">
      <c r="A298" s="271"/>
      <c r="B298" s="511"/>
      <c r="C298" s="511"/>
      <c r="D298" s="512" t="s">
        <v>186</v>
      </c>
      <c r="E298" s="512"/>
      <c r="F298" s="512"/>
      <c r="G298" s="512"/>
      <c r="H298" s="512"/>
      <c r="I298" s="500"/>
      <c r="J298" s="500"/>
      <c r="K298" s="834"/>
      <c r="M298" s="824"/>
    </row>
    <row r="299" spans="1:13" s="58" customFormat="1" ht="18.75" customHeight="1" hidden="1">
      <c r="A299" s="271"/>
      <c r="B299" s="511"/>
      <c r="C299" s="511"/>
      <c r="D299" s="513" t="s">
        <v>356</v>
      </c>
      <c r="E299" s="513"/>
      <c r="F299" s="513"/>
      <c r="G299" s="513"/>
      <c r="H299" s="513"/>
      <c r="I299" s="514">
        <f>-J218</f>
        <v>0</v>
      </c>
      <c r="J299" s="500"/>
      <c r="K299" s="834"/>
      <c r="M299" s="824"/>
    </row>
    <row r="300" spans="1:13" s="58" customFormat="1" ht="18.75" customHeight="1">
      <c r="A300" s="271"/>
      <c r="B300" s="515"/>
      <c r="C300" s="947" t="s">
        <v>9</v>
      </c>
      <c r="D300" s="947"/>
      <c r="E300" s="947"/>
      <c r="F300" s="947"/>
      <c r="G300" s="947"/>
      <c r="H300" s="513"/>
      <c r="I300" s="514">
        <f>25309400+61962913</f>
        <v>87272313</v>
      </c>
      <c r="J300" s="514">
        <v>194943190</v>
      </c>
      <c r="K300" s="834"/>
      <c r="M300" s="824"/>
    </row>
    <row r="301" spans="1:13" s="58" customFormat="1" ht="18.75" customHeight="1">
      <c r="A301" s="271"/>
      <c r="B301" s="515"/>
      <c r="C301" s="947" t="s">
        <v>10</v>
      </c>
      <c r="D301" s="947"/>
      <c r="E301" s="947"/>
      <c r="F301" s="947"/>
      <c r="G301" s="947"/>
      <c r="H301" s="513"/>
      <c r="I301" s="514"/>
      <c r="J301" s="514">
        <v>0</v>
      </c>
      <c r="K301" s="834"/>
      <c r="M301" s="824"/>
    </row>
    <row r="302" spans="1:13" s="58" customFormat="1" ht="18.75" customHeight="1">
      <c r="A302" s="271"/>
      <c r="B302" s="401" t="s">
        <v>7</v>
      </c>
      <c r="C302" s="516"/>
      <c r="D302" s="516"/>
      <c r="E302" s="516"/>
      <c r="F302" s="516"/>
      <c r="G302" s="516"/>
      <c r="H302" s="952">
        <v>81748718</v>
      </c>
      <c r="I302" s="952"/>
      <c r="J302" s="517">
        <f>J294+J293</f>
        <v>3001516784</v>
      </c>
      <c r="K302" s="834"/>
      <c r="L302" s="826"/>
      <c r="M302" s="824"/>
    </row>
    <row r="303" spans="1:13" s="58" customFormat="1" ht="18.75" customHeight="1">
      <c r="A303" s="271"/>
      <c r="B303" s="515"/>
      <c r="C303" s="947" t="s">
        <v>554</v>
      </c>
      <c r="D303" s="947"/>
      <c r="E303" s="947"/>
      <c r="F303" s="947"/>
      <c r="G303" s="947"/>
      <c r="H303" s="513"/>
      <c r="I303" s="837">
        <f>H302</f>
        <v>81748718</v>
      </c>
      <c r="J303" s="514">
        <v>744371075</v>
      </c>
      <c r="K303" s="838">
        <f>'[6]KQKD'!$E$21</f>
        <v>2928176384</v>
      </c>
      <c r="L303" s="831"/>
      <c r="M303" s="824"/>
    </row>
    <row r="304" spans="1:13" s="58" customFormat="1" ht="18.75" customHeight="1">
      <c r="A304" s="271"/>
      <c r="B304" s="515"/>
      <c r="C304" s="947" t="s">
        <v>555</v>
      </c>
      <c r="D304" s="947"/>
      <c r="E304" s="947"/>
      <c r="F304" s="947"/>
      <c r="G304" s="947"/>
      <c r="H304" s="513"/>
      <c r="I304" s="514">
        <v>0</v>
      </c>
      <c r="J304" s="514">
        <v>2257145709</v>
      </c>
      <c r="K304" s="838">
        <f>'[7]KQKD'!$E$21</f>
        <v>4028453019</v>
      </c>
      <c r="L304" s="831"/>
      <c r="M304" s="824"/>
    </row>
    <row r="305" spans="1:13" s="58" customFormat="1" ht="18.75" customHeight="1">
      <c r="A305" s="475"/>
      <c r="B305" s="267" t="s">
        <v>53</v>
      </c>
      <c r="D305" s="475"/>
      <c r="E305" s="475"/>
      <c r="F305" s="475"/>
      <c r="G305" s="475"/>
      <c r="H305" s="475"/>
      <c r="I305" s="497">
        <f>I303*0.1</f>
        <v>8174871.800000001</v>
      </c>
      <c r="J305" s="497">
        <v>413008964</v>
      </c>
      <c r="K305" s="838">
        <f>K302*28%</f>
        <v>0</v>
      </c>
      <c r="L305" s="838"/>
      <c r="M305" s="824"/>
    </row>
    <row r="306" spans="1:13" s="58" customFormat="1" ht="18.75" customHeight="1">
      <c r="A306" s="475"/>
      <c r="B306" s="267" t="s">
        <v>45</v>
      </c>
      <c r="D306" s="475"/>
      <c r="E306" s="475"/>
      <c r="F306" s="475"/>
      <c r="G306" s="475"/>
      <c r="H306" s="475"/>
      <c r="I306" s="497">
        <f>I305</f>
        <v>8174871.800000001</v>
      </c>
      <c r="J306" s="497">
        <v>74437108</v>
      </c>
      <c r="K306" s="838"/>
      <c r="L306" s="839"/>
      <c r="M306" s="824"/>
    </row>
    <row r="307" spans="1:13" s="58" customFormat="1" ht="18.75" customHeight="1">
      <c r="A307" s="475"/>
      <c r="B307" s="267" t="s">
        <v>54</v>
      </c>
      <c r="D307" s="475"/>
      <c r="E307" s="475"/>
      <c r="F307" s="475"/>
      <c r="G307" s="475"/>
      <c r="H307" s="475"/>
      <c r="I307" s="497">
        <f>I303*0.5*0.2</f>
        <v>8174871.800000001</v>
      </c>
      <c r="J307" s="497">
        <f>J305</f>
        <v>413008964</v>
      </c>
      <c r="K307" s="838"/>
      <c r="L307" s="839"/>
      <c r="M307" s="824"/>
    </row>
    <row r="308" spans="1:13" s="58" customFormat="1" ht="18.75" customHeight="1">
      <c r="A308" s="275"/>
      <c r="B308" s="267" t="s">
        <v>187</v>
      </c>
      <c r="D308" s="275"/>
      <c r="E308" s="275"/>
      <c r="F308" s="275"/>
      <c r="G308" s="275"/>
      <c r="H308" s="948">
        <f>H293-I307</f>
        <v>3277131514.2</v>
      </c>
      <c r="I308" s="948"/>
      <c r="J308" s="284">
        <v>2393564630</v>
      </c>
      <c r="K308" s="761">
        <f>H308-'[5]KQKD'!E27</f>
        <v>-2782412297.1500006</v>
      </c>
      <c r="L308" s="839">
        <f>J308-'[5]KQKD'!G27</f>
        <v>-716917707</v>
      </c>
      <c r="M308" s="824"/>
    </row>
    <row r="309" spans="1:13" s="428" customFormat="1" ht="3.75" customHeight="1" thickBot="1">
      <c r="A309" s="425"/>
      <c r="B309" s="518"/>
      <c r="C309" s="518"/>
      <c r="D309" s="518"/>
      <c r="E309" s="518"/>
      <c r="F309" s="518"/>
      <c r="G309" s="518"/>
      <c r="H309" s="518"/>
      <c r="I309" s="518"/>
      <c r="J309" s="518"/>
      <c r="K309" s="840"/>
      <c r="L309" s="841"/>
      <c r="M309" s="550"/>
    </row>
    <row r="310" spans="1:13" s="428" customFormat="1" ht="16.5" customHeight="1" thickTop="1">
      <c r="A310" s="425"/>
      <c r="B310" s="296"/>
      <c r="C310" s="296"/>
      <c r="D310" s="296"/>
      <c r="E310" s="296"/>
      <c r="F310" s="296"/>
      <c r="G310" s="296"/>
      <c r="H310" s="296"/>
      <c r="I310" s="296"/>
      <c r="J310" s="296"/>
      <c r="K310" s="840"/>
      <c r="L310" s="841"/>
      <c r="M310" s="550"/>
    </row>
    <row r="311" spans="1:13" s="58" customFormat="1" ht="19.5" customHeight="1">
      <c r="A311" s="493" t="s">
        <v>98</v>
      </c>
      <c r="B311" s="272" t="s">
        <v>71</v>
      </c>
      <c r="C311" s="286"/>
      <c r="D311" s="273"/>
      <c r="E311" s="273"/>
      <c r="F311" s="273"/>
      <c r="G311" s="273"/>
      <c r="H311" s="273"/>
      <c r="I311" s="827" t="s">
        <v>599</v>
      </c>
      <c r="J311" s="828" t="s">
        <v>600</v>
      </c>
      <c r="K311" s="112"/>
      <c r="M311" s="824"/>
    </row>
    <row r="312" spans="1:13" s="58" customFormat="1" ht="21.75" customHeight="1">
      <c r="A312" s="475"/>
      <c r="B312" s="274" t="s">
        <v>350</v>
      </c>
      <c r="D312" s="474"/>
      <c r="E312" s="475"/>
      <c r="F312" s="475"/>
      <c r="G312" s="519"/>
      <c r="H312" s="949">
        <f>21185415852+11290505716</f>
        <v>32475921568</v>
      </c>
      <c r="I312" s="949"/>
      <c r="J312" s="497">
        <v>32253285052</v>
      </c>
      <c r="K312" s="112"/>
      <c r="M312" s="824"/>
    </row>
    <row r="313" spans="1:13" s="58" customFormat="1" ht="18" customHeight="1">
      <c r="A313" s="475"/>
      <c r="B313" s="274" t="s">
        <v>72</v>
      </c>
      <c r="D313" s="474"/>
      <c r="E313" s="475"/>
      <c r="F313" s="475"/>
      <c r="G313" s="475"/>
      <c r="H313" s="497"/>
      <c r="I313" s="314">
        <f>SUM(I314:I315)</f>
        <v>2584823064</v>
      </c>
      <c r="J313" s="497">
        <f>SUM(J314:J315)</f>
        <v>3076010389</v>
      </c>
      <c r="K313" s="842"/>
      <c r="M313" s="824"/>
    </row>
    <row r="314" spans="1:13" s="521" customFormat="1" ht="18" customHeight="1">
      <c r="A314" s="520"/>
      <c r="B314" s="405" t="s">
        <v>50</v>
      </c>
      <c r="D314" s="522"/>
      <c r="E314" s="520"/>
      <c r="F314" s="520"/>
      <c r="G314" s="520"/>
      <c r="H314" s="552"/>
      <c r="I314" s="523">
        <f>1302265404+1044316448</f>
        <v>2346581852</v>
      </c>
      <c r="J314" s="523">
        <v>2922629624</v>
      </c>
      <c r="K314" s="842">
        <v>4852989698</v>
      </c>
      <c r="M314" s="843"/>
    </row>
    <row r="315" spans="1:13" s="521" customFormat="1" ht="18" customHeight="1">
      <c r="A315" s="520"/>
      <c r="B315" s="405" t="s">
        <v>51</v>
      </c>
      <c r="D315" s="522"/>
      <c r="E315" s="520"/>
      <c r="F315" s="520"/>
      <c r="G315" s="520"/>
      <c r="H315" s="520"/>
      <c r="I315" s="523">
        <f>99685890+138555322</f>
        <v>238241212</v>
      </c>
      <c r="J315" s="523">
        <v>153380765</v>
      </c>
      <c r="K315" s="844">
        <v>79721831</v>
      </c>
      <c r="M315" s="843"/>
    </row>
    <row r="316" spans="1:13" s="58" customFormat="1" ht="18" customHeight="1">
      <c r="A316" s="475"/>
      <c r="B316" s="267" t="s">
        <v>180</v>
      </c>
      <c r="D316" s="475"/>
      <c r="E316" s="475"/>
      <c r="F316" s="475"/>
      <c r="G316" s="475"/>
      <c r="H316" s="475"/>
      <c r="I316" s="497">
        <f>294379665+158706682</f>
        <v>453086347</v>
      </c>
      <c r="J316" s="480">
        <v>257884392</v>
      </c>
      <c r="K316" s="761">
        <v>188272492</v>
      </c>
      <c r="M316" s="824"/>
    </row>
    <row r="317" spans="1:13" s="58" customFormat="1" ht="18" customHeight="1">
      <c r="A317" s="475"/>
      <c r="B317" s="267" t="s">
        <v>181</v>
      </c>
      <c r="D317" s="475"/>
      <c r="E317" s="475"/>
      <c r="F317" s="475"/>
      <c r="G317" s="475"/>
      <c r="I317" s="845">
        <f>1406861876+1034752440</f>
        <v>2441614316</v>
      </c>
      <c r="J317" s="845">
        <v>6278204392</v>
      </c>
      <c r="K317" s="846">
        <f>202386458+1176661239+1355092584</f>
        <v>2734140281</v>
      </c>
      <c r="M317" s="824"/>
    </row>
    <row r="318" spans="1:13" s="58" customFormat="1" ht="18" customHeight="1">
      <c r="A318" s="475"/>
      <c r="B318" s="267" t="s">
        <v>182</v>
      </c>
      <c r="D318" s="475"/>
      <c r="E318" s="475"/>
      <c r="F318" s="475"/>
      <c r="G318" s="475"/>
      <c r="I318" s="847">
        <f>367976242+2762512505</f>
        <v>3130488747</v>
      </c>
      <c r="J318" s="847">
        <v>1960500849</v>
      </c>
      <c r="K318" s="761"/>
      <c r="M318" s="824"/>
    </row>
    <row r="319" spans="1:13" s="58" customFormat="1" ht="21" customHeight="1" thickBot="1">
      <c r="A319" s="475"/>
      <c r="B319" s="494"/>
      <c r="C319" s="312"/>
      <c r="D319" s="281" t="s">
        <v>265</v>
      </c>
      <c r="E319" s="494"/>
      <c r="F319" s="494"/>
      <c r="G319" s="494"/>
      <c r="H319" s="943">
        <f>H312+I313+I316+I317+I318</f>
        <v>41085934042</v>
      </c>
      <c r="I319" s="943"/>
      <c r="J319" s="283">
        <f>J312+J313+J316+J317+J318</f>
        <v>43825885074</v>
      </c>
      <c r="K319" s="848">
        <f>H312+H313+I316+I317+I318</f>
        <v>38501110978</v>
      </c>
      <c r="L319" s="849"/>
      <c r="M319" s="849"/>
    </row>
    <row r="320" spans="1:13" s="58" customFormat="1" ht="19.5" customHeight="1" thickTop="1">
      <c r="A320" s="10" t="s">
        <v>260</v>
      </c>
      <c r="B320" s="206" t="s">
        <v>74</v>
      </c>
      <c r="D320" s="275"/>
      <c r="E320" s="275"/>
      <c r="F320" s="275"/>
      <c r="G320" s="275"/>
      <c r="H320" s="275"/>
      <c r="I320" s="612"/>
      <c r="J320" s="480"/>
      <c r="K320" s="480"/>
      <c r="M320" s="824"/>
    </row>
    <row r="321" spans="1:13" s="58" customFormat="1" ht="24" customHeight="1">
      <c r="A321" s="10" t="s">
        <v>556</v>
      </c>
      <c r="B321" s="11"/>
      <c r="C321" s="11"/>
      <c r="D321" s="11"/>
      <c r="E321" s="11"/>
      <c r="F321" s="11"/>
      <c r="G321" s="11"/>
      <c r="H321" s="11"/>
      <c r="I321" s="11"/>
      <c r="J321" s="11"/>
      <c r="K321" s="480"/>
      <c r="M321" s="824"/>
    </row>
    <row r="322" spans="1:13" s="58" customFormat="1" ht="24" customHeight="1">
      <c r="A322" s="10" t="s">
        <v>557</v>
      </c>
      <c r="B322" s="11"/>
      <c r="C322" s="11"/>
      <c r="D322" s="11"/>
      <c r="E322" s="11"/>
      <c r="F322" s="11"/>
      <c r="G322" s="11"/>
      <c r="H322" s="11"/>
      <c r="I322" s="11"/>
      <c r="J322" s="11"/>
      <c r="K322" s="480"/>
      <c r="M322" s="824"/>
    </row>
    <row r="323" spans="1:13" s="58" customFormat="1" ht="47.25" customHeight="1">
      <c r="A323" s="10"/>
      <c r="B323" s="944" t="s">
        <v>614</v>
      </c>
      <c r="C323" s="944"/>
      <c r="D323" s="944"/>
      <c r="E323" s="944"/>
      <c r="F323" s="944"/>
      <c r="G323" s="944"/>
      <c r="H323" s="944"/>
      <c r="I323" s="944"/>
      <c r="J323" s="944"/>
      <c r="K323" s="480"/>
      <c r="M323" s="824"/>
    </row>
    <row r="324" spans="1:13" s="16" customFormat="1" ht="24" customHeight="1">
      <c r="A324" s="10"/>
      <c r="B324" s="945" t="s">
        <v>613</v>
      </c>
      <c r="C324" s="945"/>
      <c r="D324" s="945"/>
      <c r="E324" s="945"/>
      <c r="F324" s="945"/>
      <c r="G324" s="945"/>
      <c r="H324" s="945"/>
      <c r="I324" s="945"/>
      <c r="J324" s="945"/>
      <c r="K324" s="56"/>
      <c r="M324" s="57"/>
    </row>
    <row r="325" spans="1:13" s="16" customFormat="1" ht="24" customHeight="1">
      <c r="A325" s="10"/>
      <c r="B325" s="945" t="s">
        <v>615</v>
      </c>
      <c r="C325" s="945"/>
      <c r="D325" s="945"/>
      <c r="E325" s="945"/>
      <c r="F325" s="945"/>
      <c r="G325" s="945"/>
      <c r="H325" s="945"/>
      <c r="I325" s="945"/>
      <c r="J325" s="945"/>
      <c r="K325" s="56"/>
      <c r="M325" s="57"/>
    </row>
    <row r="326" spans="7:10" ht="16.5" customHeight="1">
      <c r="G326" s="7"/>
      <c r="H326" s="7"/>
      <c r="I326" s="524" t="s">
        <v>604</v>
      </c>
      <c r="J326" s="524"/>
    </row>
    <row r="327" spans="2:10" ht="21.75" customHeight="1">
      <c r="B327" s="205"/>
      <c r="C327" s="205"/>
      <c r="D327" s="205" t="s">
        <v>188</v>
      </c>
      <c r="E327" s="205"/>
      <c r="F327" s="205"/>
      <c r="G327" s="205"/>
      <c r="H327" s="205"/>
      <c r="I327" s="525" t="str">
        <f>'[5]CDKT'!G103</f>
        <v>Toång Giaùm Ñoác</v>
      </c>
      <c r="J327" s="525"/>
    </row>
    <row r="328" spans="1:13" s="58" customFormat="1" ht="54" customHeight="1">
      <c r="A328" s="198"/>
      <c r="B328" s="946"/>
      <c r="C328" s="946"/>
      <c r="D328" s="946"/>
      <c r="E328" s="946"/>
      <c r="F328" s="946"/>
      <c r="G328" s="946"/>
      <c r="H328" s="946"/>
      <c r="I328" s="946"/>
      <c r="J328" s="946"/>
      <c r="K328" s="497"/>
      <c r="M328" s="824"/>
    </row>
    <row r="329" spans="1:10" ht="18" customHeight="1">
      <c r="A329" s="257"/>
      <c r="B329" s="256"/>
      <c r="C329" s="256"/>
      <c r="D329" s="256"/>
      <c r="E329" s="256"/>
      <c r="F329" s="256"/>
      <c r="G329" s="256"/>
      <c r="H329" s="256"/>
      <c r="I329" s="314"/>
      <c r="J329" s="276"/>
    </row>
    <row r="335" spans="1:10" ht="18" customHeight="1">
      <c r="A335" s="257"/>
      <c r="B335" s="256"/>
      <c r="C335" s="256"/>
      <c r="D335" s="256"/>
      <c r="E335" s="256"/>
      <c r="F335" s="256"/>
      <c r="G335" s="256"/>
      <c r="H335" s="256"/>
      <c r="I335" s="314"/>
      <c r="J335" s="276"/>
    </row>
    <row r="336" spans="1:10" ht="24" customHeight="1">
      <c r="A336" s="257"/>
      <c r="B336" s="256"/>
      <c r="C336" s="256"/>
      <c r="D336" s="256"/>
      <c r="E336" s="256"/>
      <c r="F336" s="256"/>
      <c r="G336" s="256"/>
      <c r="H336" s="256"/>
      <c r="I336" s="314"/>
      <c r="J336" s="276"/>
    </row>
    <row r="344" spans="1:10" ht="18" customHeight="1">
      <c r="A344" s="199"/>
      <c r="J344" s="261"/>
    </row>
    <row r="345" spans="1:10" ht="18" customHeight="1">
      <c r="A345" s="199"/>
      <c r="J345" s="261"/>
    </row>
    <row r="346" spans="1:10" ht="18" customHeight="1">
      <c r="A346" s="199"/>
      <c r="J346" s="261"/>
    </row>
    <row r="347" spans="1:10" ht="18" customHeight="1">
      <c r="A347" s="199"/>
      <c r="J347" s="261"/>
    </row>
    <row r="348" spans="1:10" ht="18" customHeight="1">
      <c r="A348" s="199"/>
      <c r="J348" s="261"/>
    </row>
    <row r="349" spans="1:10" ht="18" customHeight="1">
      <c r="A349" s="199"/>
      <c r="J349" s="261"/>
    </row>
    <row r="350" spans="1:10" ht="18" customHeight="1">
      <c r="A350" s="199"/>
      <c r="J350" s="261"/>
    </row>
    <row r="351" spans="1:10" ht="18" customHeight="1">
      <c r="A351" s="199"/>
      <c r="J351" s="261"/>
    </row>
    <row r="352" spans="1:10" ht="18" customHeight="1">
      <c r="A352" s="199"/>
      <c r="J352" s="261"/>
    </row>
    <row r="353" spans="1:10" ht="18" customHeight="1">
      <c r="A353" s="199"/>
      <c r="J353" s="261"/>
    </row>
    <row r="354" spans="1:10" ht="18" customHeight="1">
      <c r="A354" s="199"/>
      <c r="J354" s="261"/>
    </row>
    <row r="355" spans="1:10" ht="18" customHeight="1">
      <c r="A355" s="199"/>
      <c r="J355" s="261"/>
    </row>
    <row r="356" spans="1:10" ht="18" customHeight="1">
      <c r="A356" s="199"/>
      <c r="J356" s="261"/>
    </row>
    <row r="357" spans="1:10" ht="18" customHeight="1">
      <c r="A357" s="199"/>
      <c r="J357" s="261"/>
    </row>
    <row r="358" spans="1:10" ht="18" customHeight="1">
      <c r="A358" s="199"/>
      <c r="J358" s="261"/>
    </row>
    <row r="359" spans="1:10" ht="18" customHeight="1">
      <c r="A359" s="199"/>
      <c r="J359" s="261"/>
    </row>
    <row r="360" spans="1:10" ht="18" customHeight="1">
      <c r="A360" s="199"/>
      <c r="J360" s="261"/>
    </row>
    <row r="361" spans="1:10" ht="18" customHeight="1">
      <c r="A361" s="199"/>
      <c r="J361" s="261"/>
    </row>
    <row r="362" spans="1:10" ht="18" customHeight="1">
      <c r="A362" s="199"/>
      <c r="J362" s="261"/>
    </row>
    <row r="363" spans="1:10" ht="18" customHeight="1">
      <c r="A363" s="199"/>
      <c r="J363" s="261"/>
    </row>
    <row r="364" spans="1:10" ht="18" customHeight="1">
      <c r="A364" s="199"/>
      <c r="J364" s="261"/>
    </row>
    <row r="365" spans="1:10" ht="18" customHeight="1">
      <c r="A365" s="199"/>
      <c r="J365" s="261"/>
    </row>
    <row r="366" spans="1:10" ht="18" customHeight="1">
      <c r="A366" s="199"/>
      <c r="J366" s="261"/>
    </row>
    <row r="367" spans="1:10" ht="18" customHeight="1">
      <c r="A367" s="199"/>
      <c r="J367" s="261"/>
    </row>
    <row r="368" spans="1:10" ht="18" customHeight="1">
      <c r="A368" s="199"/>
      <c r="J368" s="261"/>
    </row>
    <row r="369" spans="1:10" ht="18" customHeight="1">
      <c r="A369" s="199"/>
      <c r="J369" s="261"/>
    </row>
    <row r="370" spans="1:10" ht="18" customHeight="1">
      <c r="A370" s="199"/>
      <c r="J370" s="261"/>
    </row>
    <row r="371" spans="1:10" ht="18" customHeight="1">
      <c r="A371" s="199"/>
      <c r="J371" s="261"/>
    </row>
    <row r="372" spans="1:10" ht="18" customHeight="1">
      <c r="A372" s="199"/>
      <c r="J372" s="261"/>
    </row>
    <row r="373" spans="1:10" ht="18" customHeight="1">
      <c r="A373" s="199"/>
      <c r="J373" s="261"/>
    </row>
    <row r="374" spans="1:10" ht="18" customHeight="1">
      <c r="A374" s="199"/>
      <c r="J374" s="261"/>
    </row>
    <row r="375" spans="1:10" ht="18" customHeight="1">
      <c r="A375" s="199"/>
      <c r="J375" s="261"/>
    </row>
    <row r="376" spans="1:10" ht="18" customHeight="1">
      <c r="A376" s="199"/>
      <c r="J376" s="261"/>
    </row>
    <row r="377" spans="1:10" ht="18" customHeight="1">
      <c r="A377" s="199"/>
      <c r="J377" s="261"/>
    </row>
    <row r="378" spans="1:10" ht="18" customHeight="1">
      <c r="A378" s="199"/>
      <c r="J378" s="261"/>
    </row>
    <row r="379" spans="1:10" ht="18" customHeight="1">
      <c r="A379" s="199"/>
      <c r="J379" s="261"/>
    </row>
    <row r="380" spans="1:10" ht="18" customHeight="1">
      <c r="A380" s="199"/>
      <c r="J380" s="261"/>
    </row>
    <row r="381" spans="1:10" ht="18" customHeight="1">
      <c r="A381" s="199"/>
      <c r="J381" s="261"/>
    </row>
    <row r="382" spans="1:10" ht="18" customHeight="1">
      <c r="A382" s="199"/>
      <c r="J382" s="261"/>
    </row>
    <row r="383" spans="1:10" ht="18" customHeight="1">
      <c r="A383" s="199"/>
      <c r="J383" s="261"/>
    </row>
    <row r="384" spans="1:10" ht="18" customHeight="1">
      <c r="A384" s="199"/>
      <c r="J384" s="261"/>
    </row>
    <row r="385" spans="1:10" ht="18" customHeight="1">
      <c r="A385" s="199"/>
      <c r="J385" s="261"/>
    </row>
    <row r="386" spans="1:10" ht="18" customHeight="1">
      <c r="A386" s="199"/>
      <c r="J386" s="261"/>
    </row>
    <row r="387" spans="1:10" ht="18" customHeight="1">
      <c r="A387" s="199"/>
      <c r="J387" s="261"/>
    </row>
    <row r="388" spans="1:10" ht="18" customHeight="1">
      <c r="A388" s="199"/>
      <c r="J388" s="261"/>
    </row>
    <row r="389" spans="1:10" ht="18" customHeight="1">
      <c r="A389" s="199"/>
      <c r="J389" s="261"/>
    </row>
    <row r="390" spans="1:10" ht="18" customHeight="1">
      <c r="A390" s="199"/>
      <c r="J390" s="261"/>
    </row>
    <row r="391" spans="1:10" ht="18" customHeight="1">
      <c r="A391" s="199"/>
      <c r="J391" s="261"/>
    </row>
    <row r="392" spans="1:10" ht="18" customHeight="1">
      <c r="A392" s="199"/>
      <c r="J392" s="261"/>
    </row>
    <row r="393" spans="1:10" ht="18" customHeight="1">
      <c r="A393" s="199"/>
      <c r="J393" s="261"/>
    </row>
    <row r="394" spans="1:10" ht="18" customHeight="1">
      <c r="A394" s="199"/>
      <c r="J394" s="261"/>
    </row>
    <row r="395" spans="1:10" ht="18" customHeight="1">
      <c r="A395" s="199"/>
      <c r="J395" s="261"/>
    </row>
    <row r="396" spans="1:10" ht="18" customHeight="1">
      <c r="A396" s="199"/>
      <c r="J396" s="261"/>
    </row>
    <row r="397" spans="1:10" ht="18" customHeight="1">
      <c r="A397" s="199"/>
      <c r="J397" s="261"/>
    </row>
    <row r="398" spans="1:10" ht="18" customHeight="1">
      <c r="A398" s="199"/>
      <c r="J398" s="261"/>
    </row>
    <row r="399" spans="1:10" ht="18" customHeight="1">
      <c r="A399" s="199"/>
      <c r="J399" s="261"/>
    </row>
    <row r="400" spans="1:10" ht="18" customHeight="1">
      <c r="A400" s="199"/>
      <c r="J400" s="261"/>
    </row>
    <row r="401" spans="1:10" ht="18" customHeight="1">
      <c r="A401" s="199"/>
      <c r="J401" s="261"/>
    </row>
    <row r="402" spans="1:10" ht="18" customHeight="1">
      <c r="A402" s="199"/>
      <c r="J402" s="261"/>
    </row>
    <row r="403" spans="1:10" ht="18" customHeight="1">
      <c r="A403" s="199"/>
      <c r="J403" s="261"/>
    </row>
    <row r="404" spans="1:10" ht="18" customHeight="1">
      <c r="A404" s="199"/>
      <c r="J404" s="261"/>
    </row>
    <row r="405" spans="1:10" ht="18" customHeight="1">
      <c r="A405" s="199"/>
      <c r="J405" s="261"/>
    </row>
    <row r="406" spans="1:10" ht="18" customHeight="1">
      <c r="A406" s="199"/>
      <c r="J406" s="261"/>
    </row>
    <row r="407" spans="1:10" ht="18" customHeight="1">
      <c r="A407" s="199"/>
      <c r="J407" s="261"/>
    </row>
    <row r="408" spans="1:10" ht="18" customHeight="1">
      <c r="A408" s="199"/>
      <c r="J408" s="261"/>
    </row>
    <row r="409" spans="1:10" ht="18" customHeight="1">
      <c r="A409" s="199"/>
      <c r="J409" s="261"/>
    </row>
    <row r="410" spans="1:10" ht="18" customHeight="1">
      <c r="A410" s="199"/>
      <c r="J410" s="261"/>
    </row>
    <row r="411" spans="1:10" ht="18" customHeight="1">
      <c r="A411" s="199"/>
      <c r="J411" s="261"/>
    </row>
    <row r="412" spans="1:10" ht="18" customHeight="1">
      <c r="A412" s="199"/>
      <c r="J412" s="261"/>
    </row>
    <row r="413" spans="1:10" ht="18" customHeight="1">
      <c r="A413" s="199"/>
      <c r="J413" s="261"/>
    </row>
    <row r="414" spans="1:10" ht="18" customHeight="1">
      <c r="A414" s="199"/>
      <c r="J414" s="261"/>
    </row>
    <row r="415" spans="1:10" ht="18" customHeight="1">
      <c r="A415" s="199"/>
      <c r="J415" s="261"/>
    </row>
    <row r="416" spans="1:10" ht="18" customHeight="1">
      <c r="A416" s="199"/>
      <c r="J416" s="261"/>
    </row>
    <row r="417" spans="1:10" ht="18" customHeight="1">
      <c r="A417" s="199"/>
      <c r="J417" s="261"/>
    </row>
    <row r="418" spans="1:10" ht="18" customHeight="1">
      <c r="A418" s="199"/>
      <c r="J418" s="261"/>
    </row>
    <row r="419" spans="1:10" ht="18" customHeight="1">
      <c r="A419" s="199"/>
      <c r="J419" s="261"/>
    </row>
    <row r="420" spans="1:10" ht="18" customHeight="1">
      <c r="A420" s="199"/>
      <c r="J420" s="261"/>
    </row>
    <row r="421" spans="1:10" ht="18" customHeight="1">
      <c r="A421" s="199"/>
      <c r="J421" s="261"/>
    </row>
    <row r="422" spans="1:10" ht="18" customHeight="1">
      <c r="A422" s="199"/>
      <c r="J422" s="261"/>
    </row>
    <row r="423" spans="1:10" ht="18" customHeight="1">
      <c r="A423" s="199"/>
      <c r="J423" s="261"/>
    </row>
    <row r="424" spans="1:10" ht="18" customHeight="1">
      <c r="A424" s="199"/>
      <c r="J424" s="261"/>
    </row>
    <row r="425" spans="1:10" ht="18" customHeight="1">
      <c r="A425" s="199"/>
      <c r="J425" s="261"/>
    </row>
    <row r="426" spans="1:10" ht="18" customHeight="1">
      <c r="A426" s="199"/>
      <c r="J426" s="261"/>
    </row>
    <row r="427" spans="1:10" ht="18" customHeight="1">
      <c r="A427" s="199"/>
      <c r="J427" s="261"/>
    </row>
    <row r="428" spans="1:10" ht="18" customHeight="1">
      <c r="A428" s="199"/>
      <c r="J428" s="261"/>
    </row>
    <row r="429" spans="1:10" ht="18" customHeight="1">
      <c r="A429" s="199"/>
      <c r="J429" s="261"/>
    </row>
    <row r="430" spans="1:10" ht="18" customHeight="1">
      <c r="A430" s="199"/>
      <c r="J430" s="261"/>
    </row>
    <row r="431" spans="1:10" ht="18" customHeight="1">
      <c r="A431" s="199"/>
      <c r="J431" s="261"/>
    </row>
    <row r="432" spans="1:10" ht="18" customHeight="1">
      <c r="A432" s="199"/>
      <c r="J432" s="261"/>
    </row>
    <row r="433" spans="1:10" ht="18" customHeight="1">
      <c r="A433" s="199"/>
      <c r="J433" s="261"/>
    </row>
    <row r="434" spans="1:10" ht="18" customHeight="1">
      <c r="A434" s="199"/>
      <c r="J434" s="261"/>
    </row>
    <row r="435" spans="1:10" ht="18" customHeight="1">
      <c r="A435" s="199"/>
      <c r="J435" s="261"/>
    </row>
    <row r="436" spans="1:10" ht="18" customHeight="1">
      <c r="A436" s="199"/>
      <c r="J436" s="261"/>
    </row>
    <row r="437" spans="1:10" ht="18" customHeight="1">
      <c r="A437" s="199"/>
      <c r="J437" s="261"/>
    </row>
    <row r="438" spans="1:10" ht="18" customHeight="1">
      <c r="A438" s="199"/>
      <c r="J438" s="261"/>
    </row>
    <row r="439" spans="1:10" ht="18" customHeight="1">
      <c r="A439" s="199"/>
      <c r="J439" s="261"/>
    </row>
    <row r="440" spans="1:10" ht="18" customHeight="1">
      <c r="A440" s="199"/>
      <c r="J440" s="261"/>
    </row>
    <row r="441" spans="1:10" ht="18" customHeight="1">
      <c r="A441" s="199"/>
      <c r="J441" s="261"/>
    </row>
    <row r="442" spans="1:10" ht="18" customHeight="1">
      <c r="A442" s="199"/>
      <c r="J442" s="261"/>
    </row>
    <row r="443" spans="1:10" ht="18" customHeight="1">
      <c r="A443" s="199"/>
      <c r="J443" s="261"/>
    </row>
  </sheetData>
  <mergeCells count="88">
    <mergeCell ref="D171:J171"/>
    <mergeCell ref="B8:J8"/>
    <mergeCell ref="D9:J9"/>
    <mergeCell ref="D10:J10"/>
    <mergeCell ref="B14:J14"/>
    <mergeCell ref="B20:J20"/>
    <mergeCell ref="B22:J22"/>
    <mergeCell ref="B23:J23"/>
    <mergeCell ref="B27:J27"/>
    <mergeCell ref="B28:J28"/>
    <mergeCell ref="B29:J29"/>
    <mergeCell ref="B32:J32"/>
    <mergeCell ref="B33:J33"/>
    <mergeCell ref="B34:J34"/>
    <mergeCell ref="B35:J35"/>
    <mergeCell ref="B37:J37"/>
    <mergeCell ref="B38:J38"/>
    <mergeCell ref="B39:J39"/>
    <mergeCell ref="B41:J41"/>
    <mergeCell ref="B42:J42"/>
    <mergeCell ref="B43:J43"/>
    <mergeCell ref="B44:J44"/>
    <mergeCell ref="B45:J45"/>
    <mergeCell ref="B46:J46"/>
    <mergeCell ref="B47:J47"/>
    <mergeCell ref="B48:J48"/>
    <mergeCell ref="B50:J50"/>
    <mergeCell ref="B51:J51"/>
    <mergeCell ref="B54:J54"/>
    <mergeCell ref="B56:J56"/>
    <mergeCell ref="B57:J57"/>
    <mergeCell ref="B58:J58"/>
    <mergeCell ref="B59:J59"/>
    <mergeCell ref="B61:J61"/>
    <mergeCell ref="H69:I69"/>
    <mergeCell ref="H71:I71"/>
    <mergeCell ref="H97:I97"/>
    <mergeCell ref="A123:I123"/>
    <mergeCell ref="D148:F148"/>
    <mergeCell ref="D149:F149"/>
    <mergeCell ref="D150:G150"/>
    <mergeCell ref="D151:G151"/>
    <mergeCell ref="B158:J158"/>
    <mergeCell ref="H163:I163"/>
    <mergeCell ref="C165:K165"/>
    <mergeCell ref="D166:J166"/>
    <mergeCell ref="D167:I167"/>
    <mergeCell ref="D168:J168"/>
    <mergeCell ref="D169:J169"/>
    <mergeCell ref="D170:J170"/>
    <mergeCell ref="H181:I181"/>
    <mergeCell ref="B195:F195"/>
    <mergeCell ref="K195:L195"/>
    <mergeCell ref="H198:I198"/>
    <mergeCell ref="H205:I205"/>
    <mergeCell ref="B206:J206"/>
    <mergeCell ref="D207:J207"/>
    <mergeCell ref="D208:J208"/>
    <mergeCell ref="A212:D212"/>
    <mergeCell ref="A220:J220"/>
    <mergeCell ref="B244:G244"/>
    <mergeCell ref="B245:G245"/>
    <mergeCell ref="B247:G247"/>
    <mergeCell ref="B249:H249"/>
    <mergeCell ref="A254:J254"/>
    <mergeCell ref="B255:J255"/>
    <mergeCell ref="B256:J256"/>
    <mergeCell ref="H260:I260"/>
    <mergeCell ref="H267:I267"/>
    <mergeCell ref="H268:I268"/>
    <mergeCell ref="H269:I269"/>
    <mergeCell ref="H272:I272"/>
    <mergeCell ref="H274:I274"/>
    <mergeCell ref="B293:G293"/>
    <mergeCell ref="H293:I293"/>
    <mergeCell ref="B294:G294"/>
    <mergeCell ref="C300:G300"/>
    <mergeCell ref="C301:G301"/>
    <mergeCell ref="H302:I302"/>
    <mergeCell ref="C303:G303"/>
    <mergeCell ref="C304:G304"/>
    <mergeCell ref="H308:I308"/>
    <mergeCell ref="H312:I312"/>
    <mergeCell ref="H319:I319"/>
    <mergeCell ref="B323:J323"/>
    <mergeCell ref="B324:J324"/>
    <mergeCell ref="B328:J328"/>
    <mergeCell ref="B325:J325"/>
  </mergeCells>
  <printOptions/>
  <pageMargins left="0.5" right="0" top="0.5" bottom="0.5" header="0.25" footer="0.25"/>
  <pageSetup horizontalDpi="600" verticalDpi="600" orientation="portrait" paperSize="9" r:id="rId1"/>
  <headerFooter alignWithMargins="0">
    <oddFooter xml:space="preserve">&amp;L&amp;"VNI-Times,Italic"Caùc thuyeát minh naøy laø boä phaän hôïp thaønh baùo caùo taøi chính töø trang 1 ñeán trang 7&amp;RTrang&amp;P+7 </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B9" sqref="B9"/>
    </sheetView>
  </sheetViews>
  <sheetFormatPr defaultColWidth="8.796875" defaultRowHeight="14.2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41"/>
  <sheetViews>
    <sheetView workbookViewId="0" topLeftCell="A1">
      <selection activeCell="A30" sqref="A30"/>
    </sheetView>
  </sheetViews>
  <sheetFormatPr defaultColWidth="8.796875" defaultRowHeight="14.25"/>
  <cols>
    <col min="1" max="1" width="29.09765625" style="1" customWidth="1"/>
    <col min="2" max="2" width="1.203125" style="1" customWidth="1"/>
    <col min="3" max="3" width="31.19921875" style="1" customWidth="1"/>
    <col min="4" max="16384" width="8.8984375" style="1" customWidth="1"/>
  </cols>
  <sheetData>
    <row r="1" spans="1:3" ht="16.5">
      <c r="A1" s="2"/>
      <c r="C1" s="2"/>
    </row>
    <row r="2" ht="17.25" thickBot="1">
      <c r="A2" s="2"/>
    </row>
    <row r="3" spans="1:3" ht="17.25" thickBot="1">
      <c r="A3" s="2"/>
      <c r="C3" s="2"/>
    </row>
    <row r="4" spans="1:3" ht="16.5">
      <c r="A4" s="2"/>
      <c r="C4" s="2"/>
    </row>
    <row r="5" ht="16.5">
      <c r="C5" s="2"/>
    </row>
    <row r="6" ht="17.25" thickBot="1">
      <c r="C6" s="2"/>
    </row>
    <row r="7" spans="1:3" ht="16.5">
      <c r="A7" s="2"/>
      <c r="C7" s="2"/>
    </row>
    <row r="8" spans="1:3" ht="16.5">
      <c r="A8" s="2"/>
      <c r="C8" s="2"/>
    </row>
    <row r="9" spans="1:3" ht="16.5">
      <c r="A9" s="2"/>
      <c r="C9" s="2"/>
    </row>
    <row r="10" spans="1:3" ht="16.5">
      <c r="A10" s="2"/>
      <c r="C10" s="2"/>
    </row>
    <row r="11" spans="1:3" ht="17.25" thickBot="1">
      <c r="A11" s="2"/>
      <c r="C11" s="2"/>
    </row>
    <row r="12" ht="16.5">
      <c r="C12" s="2"/>
    </row>
    <row r="13" ht="17.25" thickBot="1">
      <c r="C13" s="2"/>
    </row>
    <row r="14" spans="1:3" ht="17.25" thickBot="1">
      <c r="A14" s="2"/>
      <c r="C14" s="2"/>
    </row>
    <row r="15" ht="16.5">
      <c r="A15" s="2"/>
    </row>
    <row r="16" ht="17.25" thickBot="1">
      <c r="A16" s="2"/>
    </row>
    <row r="17" spans="1:3" ht="17.25" thickBot="1">
      <c r="A17" s="2"/>
      <c r="C17" s="2"/>
    </row>
    <row r="18" ht="16.5">
      <c r="C18" s="2"/>
    </row>
    <row r="19" ht="16.5">
      <c r="C19" s="2"/>
    </row>
    <row r="20" spans="1:3" ht="16.5">
      <c r="A20" s="2"/>
      <c r="C20" s="2"/>
    </row>
    <row r="21" spans="1:3" ht="16.5">
      <c r="A21" s="2"/>
      <c r="C21" s="2"/>
    </row>
    <row r="22" spans="1:3" ht="16.5">
      <c r="A22" s="2"/>
      <c r="C22" s="2"/>
    </row>
    <row r="23" spans="1:3" ht="16.5">
      <c r="A23" s="2"/>
      <c r="C23" s="2"/>
    </row>
    <row r="24" ht="16.5">
      <c r="A24" s="2"/>
    </row>
    <row r="25" ht="16.5">
      <c r="A25" s="2"/>
    </row>
    <row r="26" spans="1:3" ht="17.25" thickBot="1">
      <c r="A26" s="2"/>
      <c r="C26" s="2"/>
    </row>
    <row r="27" spans="1:3" ht="16.5">
      <c r="A27" s="2"/>
      <c r="C27" s="2"/>
    </row>
    <row r="28" spans="1:3" ht="16.5">
      <c r="A28" s="2"/>
      <c r="C28" s="2"/>
    </row>
    <row r="29" spans="1:3" ht="16.5">
      <c r="A29" s="2"/>
      <c r="C29" s="2"/>
    </row>
    <row r="30" spans="1:3" ht="16.5">
      <c r="A30" s="2"/>
      <c r="C30" s="2"/>
    </row>
    <row r="31" spans="1:3" ht="16.5">
      <c r="A31" s="2"/>
      <c r="C31" s="2"/>
    </row>
    <row r="32" spans="1:3" ht="16.5">
      <c r="A32" s="2"/>
      <c r="C32" s="2"/>
    </row>
    <row r="33" spans="1:3" ht="16.5">
      <c r="A33" s="2"/>
      <c r="C33" s="2"/>
    </row>
    <row r="34" spans="1:3" ht="16.5">
      <c r="A34" s="2"/>
      <c r="C34" s="2"/>
    </row>
    <row r="35" spans="1:3" ht="16.5">
      <c r="A35" s="2"/>
      <c r="C35" s="2"/>
    </row>
    <row r="36" spans="1:3" ht="16.5">
      <c r="A36" s="2"/>
      <c r="C36" s="2"/>
    </row>
    <row r="37" ht="16.5">
      <c r="A37" s="2"/>
    </row>
    <row r="38" ht="16.5">
      <c r="A38" s="2"/>
    </row>
    <row r="39" spans="1:3" ht="16.5">
      <c r="A39" s="2"/>
      <c r="C39" s="2"/>
    </row>
    <row r="40" spans="1:3" ht="16.5">
      <c r="A40" s="2"/>
      <c r="C40" s="2"/>
    </row>
    <row r="41" spans="1:3" ht="16.5">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KIEM TOAN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OPEY A.</dc:creator>
  <cp:keywords/>
  <dc:description/>
  <cp:lastModifiedBy>Cimaron</cp:lastModifiedBy>
  <cp:lastPrinted>2008-01-23T09:24:11Z</cp:lastPrinted>
  <dcterms:created xsi:type="dcterms:W3CDTF">2001-02-06T09:24:36Z</dcterms:created>
  <dcterms:modified xsi:type="dcterms:W3CDTF">2008-01-23T09:27:51Z</dcterms:modified>
  <cp:category/>
  <cp:version/>
  <cp:contentType/>
  <cp:contentStatus/>
</cp:coreProperties>
</file>